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45" windowWidth="20730" windowHeight="9165" activeTab="1"/>
  </bookViews>
  <sheets>
    <sheet name="ggdebt lvl" sheetId="1" r:id="rId1"/>
    <sheet name="ggdebt percent" sheetId="4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AY40" i="1"/>
  <c r="AX40"/>
  <c r="AY25" l="1"/>
  <c r="AY10"/>
  <c r="AY6" i="4"/>
  <c r="AY7"/>
  <c r="AY10"/>
  <c r="AY11"/>
  <c r="AY17"/>
  <c r="AY18"/>
  <c r="AY21"/>
  <c r="AY22"/>
  <c r="AY25"/>
  <c r="AY26"/>
  <c r="AY33"/>
  <c r="AY34"/>
  <c r="AY35"/>
  <c r="AY32" i="1"/>
  <c r="AY32" i="4" s="1"/>
  <c r="AY29" i="1"/>
  <c r="AY28" s="1"/>
  <c r="AY28" i="4" s="1"/>
  <c r="AY30" i="1"/>
  <c r="AY39" s="1"/>
  <c r="AY39" i="4" s="1"/>
  <c r="AY24" i="1"/>
  <c r="AY24" i="4" s="1"/>
  <c r="AY20" i="1"/>
  <c r="AY20" i="4" s="1"/>
  <c r="AY16" i="1"/>
  <c r="AY16" i="4" s="1"/>
  <c r="AY13" i="1"/>
  <c r="AY12" s="1"/>
  <c r="AY12" i="4" s="1"/>
  <c r="AY14" i="1"/>
  <c r="AY14" i="4" s="1"/>
  <c r="AY9" i="1"/>
  <c r="AY9" i="4" s="1"/>
  <c r="AY5" i="1"/>
  <c r="AY5" i="4" s="1"/>
  <c r="AT10" i="1"/>
  <c r="AT13"/>
  <c r="AT24"/>
  <c r="AT29"/>
  <c r="AW40"/>
  <c r="AX25"/>
  <c r="AW25"/>
  <c r="AX10"/>
  <c r="AW10"/>
  <c r="AW32"/>
  <c r="AX32"/>
  <c r="AW24"/>
  <c r="AX24"/>
  <c r="AW20"/>
  <c r="AX20"/>
  <c r="AW16"/>
  <c r="AX16"/>
  <c r="AW13"/>
  <c r="AW29" s="1"/>
  <c r="AW38" s="1"/>
  <c r="AX13"/>
  <c r="AX29" s="1"/>
  <c r="AW14"/>
  <c r="AW30" s="1"/>
  <c r="AW39" s="1"/>
  <c r="AX14"/>
  <c r="AX30" s="1"/>
  <c r="AX39" s="1"/>
  <c r="AW9"/>
  <c r="AX9"/>
  <c r="AW5"/>
  <c r="AX5"/>
  <c r="AY30" i="4" l="1"/>
  <c r="AY13"/>
  <c r="AY29"/>
  <c r="AY38" i="1"/>
  <c r="AX12"/>
  <c r="AW37"/>
  <c r="AX28"/>
  <c r="AX38"/>
  <c r="AX37" s="1"/>
  <c r="AW12"/>
  <c r="AW28"/>
  <c r="AY37" l="1"/>
  <c r="AY37" i="4" s="1"/>
  <c r="AY38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U9"/>
  <c r="AV9"/>
  <c r="AW9"/>
  <c r="AX9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U12"/>
  <c r="AV12"/>
  <c r="AW12"/>
  <c r="AX12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H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H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H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U28"/>
  <c r="AV28"/>
  <c r="AW28"/>
  <c r="AX28"/>
  <c r="H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H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U37"/>
  <c r="AV37"/>
  <c r="AW37"/>
  <c r="AX37"/>
  <c r="H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U38"/>
  <c r="AV38"/>
  <c r="AW38"/>
  <c r="AX38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E39"/>
  <c r="E35"/>
  <c r="E34"/>
  <c r="E33"/>
  <c r="E32"/>
  <c r="E30"/>
  <c r="E26"/>
  <c r="E25"/>
  <c r="E24"/>
  <c r="E22"/>
  <c r="E18"/>
  <c r="E17"/>
  <c r="E16"/>
  <c r="E14"/>
  <c r="E13"/>
  <c r="E12"/>
  <c r="E11"/>
  <c r="E10"/>
  <c r="E9"/>
  <c r="E7"/>
  <c r="E6"/>
  <c r="E5"/>
  <c r="AU40" i="1"/>
  <c r="AT40"/>
  <c r="AS40"/>
  <c r="AQ40"/>
  <c r="AP40"/>
  <c r="AO40"/>
  <c r="AN40"/>
  <c r="AM40"/>
  <c r="AL40"/>
  <c r="AK40"/>
  <c r="AC40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AV24"/>
  <c r="AU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L21"/>
  <c r="L20" s="1"/>
  <c r="L20" i="4" s="1"/>
  <c r="K21" i="1"/>
  <c r="K21" i="4" s="1"/>
  <c r="J21" i="1"/>
  <c r="J20" s="1"/>
  <c r="J20" i="4" s="1"/>
  <c r="I21" i="1"/>
  <c r="I21" i="4" s="1"/>
  <c r="G21" i="1"/>
  <c r="G20" s="1"/>
  <c r="G20" i="4" s="1"/>
  <c r="F21" i="1"/>
  <c r="F21" i="4" s="1"/>
  <c r="E21" i="1"/>
  <c r="E21" i="4" s="1"/>
  <c r="AV20" i="1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K20"/>
  <c r="K20" i="4" s="1"/>
  <c r="I20" i="1"/>
  <c r="I20" i="4" s="1"/>
  <c r="H20" i="1"/>
  <c r="F20"/>
  <c r="F20" i="4" s="1"/>
  <c r="AV16" i="1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AU14"/>
  <c r="AU30" s="1"/>
  <c r="AU39" s="1"/>
  <c r="AT14"/>
  <c r="AT30" s="1"/>
  <c r="AT39" s="1"/>
  <c r="AS14"/>
  <c r="AS30" s="1"/>
  <c r="AS39" s="1"/>
  <c r="AR14"/>
  <c r="AR30" s="1"/>
  <c r="AR39" s="1"/>
  <c r="AQ14"/>
  <c r="AQ30" s="1"/>
  <c r="AQ39" s="1"/>
  <c r="AP14"/>
  <c r="AP30" s="1"/>
  <c r="AP39" s="1"/>
  <c r="AO14"/>
  <c r="AO30" s="1"/>
  <c r="AO39" s="1"/>
  <c r="AN14"/>
  <c r="AN30" s="1"/>
  <c r="AN39" s="1"/>
  <c r="AM14"/>
  <c r="AM30" s="1"/>
  <c r="AM39" s="1"/>
  <c r="AL14"/>
  <c r="AL30" s="1"/>
  <c r="AL39" s="1"/>
  <c r="AK14"/>
  <c r="AK30" s="1"/>
  <c r="AK39" s="1"/>
  <c r="AJ14"/>
  <c r="AJ30" s="1"/>
  <c r="AJ39" s="1"/>
  <c r="AI14"/>
  <c r="AI30" s="1"/>
  <c r="AI39" s="1"/>
  <c r="AH14"/>
  <c r="AH30" s="1"/>
  <c r="AH39" s="1"/>
  <c r="AG14"/>
  <c r="AG30" s="1"/>
  <c r="AG39" s="1"/>
  <c r="AF14"/>
  <c r="AF30" s="1"/>
  <c r="AF39" s="1"/>
  <c r="AE14"/>
  <c r="AE30" s="1"/>
  <c r="AE39" s="1"/>
  <c r="AD14"/>
  <c r="AD30" s="1"/>
  <c r="AD39" s="1"/>
  <c r="AC14"/>
  <c r="AC30" s="1"/>
  <c r="AC39" s="1"/>
  <c r="AB14"/>
  <c r="AB30" s="1"/>
  <c r="AB39" s="1"/>
  <c r="AA14"/>
  <c r="AA30" s="1"/>
  <c r="AA39" s="1"/>
  <c r="Z14"/>
  <c r="Z30" s="1"/>
  <c r="Z39" s="1"/>
  <c r="Y14"/>
  <c r="Y30" s="1"/>
  <c r="Y39" s="1"/>
  <c r="X14"/>
  <c r="X30" s="1"/>
  <c r="X39" s="1"/>
  <c r="W14"/>
  <c r="W30" s="1"/>
  <c r="W39" s="1"/>
  <c r="V14"/>
  <c r="V30" s="1"/>
  <c r="V39" s="1"/>
  <c r="U14"/>
  <c r="U30" s="1"/>
  <c r="U39" s="1"/>
  <c r="T14"/>
  <c r="T30" s="1"/>
  <c r="T39" s="1"/>
  <c r="S14"/>
  <c r="S30" s="1"/>
  <c r="S39" s="1"/>
  <c r="R14"/>
  <c r="R30" s="1"/>
  <c r="R39" s="1"/>
  <c r="Q14"/>
  <c r="Q30" s="1"/>
  <c r="Q39" s="1"/>
  <c r="P14"/>
  <c r="P30" s="1"/>
  <c r="P39" s="1"/>
  <c r="O14"/>
  <c r="O30" s="1"/>
  <c r="O39" s="1"/>
  <c r="N14"/>
  <c r="N30" s="1"/>
  <c r="N39" s="1"/>
  <c r="M14"/>
  <c r="M30" s="1"/>
  <c r="M39" s="1"/>
  <c r="L14"/>
  <c r="L30" s="1"/>
  <c r="L39" s="1"/>
  <c r="K14"/>
  <c r="K30" s="1"/>
  <c r="K39" s="1"/>
  <c r="J14"/>
  <c r="J30" s="1"/>
  <c r="J39" s="1"/>
  <c r="H14"/>
  <c r="H30" s="1"/>
  <c r="H39" s="1"/>
  <c r="G14"/>
  <c r="G30" s="1"/>
  <c r="G39" s="1"/>
  <c r="F14"/>
  <c r="F30" s="1"/>
  <c r="F39" s="1"/>
  <c r="E14"/>
  <c r="E30" s="1"/>
  <c r="E39" s="1"/>
  <c r="R13"/>
  <c r="R29" s="1"/>
  <c r="AV11"/>
  <c r="I11"/>
  <c r="AV10"/>
  <c r="AU10"/>
  <c r="AU9" s="1"/>
  <c r="AS10"/>
  <c r="AS9" s="1"/>
  <c r="AR10"/>
  <c r="AQ10"/>
  <c r="AQ9" s="1"/>
  <c r="AP10"/>
  <c r="AP13" s="1"/>
  <c r="AO10"/>
  <c r="AN10"/>
  <c r="AM10"/>
  <c r="AM9" s="1"/>
  <c r="AL10"/>
  <c r="AL13" s="1"/>
  <c r="AK10"/>
  <c r="AJ10"/>
  <c r="AI10"/>
  <c r="AI9" s="1"/>
  <c r="AH10"/>
  <c r="AH13" s="1"/>
  <c r="AG10"/>
  <c r="AG9" s="1"/>
  <c r="AF10"/>
  <c r="AE10"/>
  <c r="AE9" s="1"/>
  <c r="AD10"/>
  <c r="AD13" s="1"/>
  <c r="AC10"/>
  <c r="AB10"/>
  <c r="AA10"/>
  <c r="AA9" s="1"/>
  <c r="Z10"/>
  <c r="Z13" s="1"/>
  <c r="Y10"/>
  <c r="X10"/>
  <c r="W10"/>
  <c r="W9" s="1"/>
  <c r="V10"/>
  <c r="V13" s="1"/>
  <c r="U10"/>
  <c r="T10"/>
  <c r="S10"/>
  <c r="S9" s="1"/>
  <c r="Q10"/>
  <c r="P10"/>
  <c r="O10"/>
  <c r="O13" s="1"/>
  <c r="N10"/>
  <c r="N13" s="1"/>
  <c r="M10"/>
  <c r="L10"/>
  <c r="K10"/>
  <c r="K13" s="1"/>
  <c r="J10"/>
  <c r="J13" s="1"/>
  <c r="I10"/>
  <c r="I9" s="1"/>
  <c r="H10"/>
  <c r="G10"/>
  <c r="G13" s="1"/>
  <c r="F10"/>
  <c r="F13" s="1"/>
  <c r="E10"/>
  <c r="E9" s="1"/>
  <c r="AR9"/>
  <c r="AP9"/>
  <c r="AO9"/>
  <c r="AN9"/>
  <c r="AL9"/>
  <c r="AJ9"/>
  <c r="AD9"/>
  <c r="AC9"/>
  <c r="AB9"/>
  <c r="Y9"/>
  <c r="X9"/>
  <c r="T9"/>
  <c r="R9"/>
  <c r="Q9"/>
  <c r="O9"/>
  <c r="M9"/>
  <c r="K9"/>
  <c r="G9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J21" i="4" l="1"/>
  <c r="E20" i="1"/>
  <c r="E20" i="4" s="1"/>
  <c r="G21"/>
  <c r="L21"/>
  <c r="J9" i="1"/>
  <c r="V9"/>
  <c r="AH9"/>
  <c r="AT9"/>
  <c r="AT9" i="4" s="1"/>
  <c r="N9" i="1"/>
  <c r="Z9"/>
  <c r="F9"/>
  <c r="H13"/>
  <c r="T13"/>
  <c r="AB13"/>
  <c r="AJ13"/>
  <c r="AR13"/>
  <c r="Y13"/>
  <c r="AG13"/>
  <c r="AO13"/>
  <c r="I14"/>
  <c r="I30" s="1"/>
  <c r="I39" s="1"/>
  <c r="P13"/>
  <c r="X13"/>
  <c r="AF13"/>
  <c r="AN13"/>
  <c r="AV13"/>
  <c r="AV29" s="1"/>
  <c r="AV38" s="1"/>
  <c r="H9"/>
  <c r="L9"/>
  <c r="P9"/>
  <c r="U9"/>
  <c r="AF9"/>
  <c r="AK9"/>
  <c r="R12"/>
  <c r="L13"/>
  <c r="U13"/>
  <c r="AC13"/>
  <c r="AK13"/>
  <c r="AS13"/>
  <c r="G29"/>
  <c r="G29" i="4" s="1"/>
  <c r="G12" i="1"/>
  <c r="K29"/>
  <c r="K29" i="4" s="1"/>
  <c r="K12" i="1"/>
  <c r="O29"/>
  <c r="O12"/>
  <c r="R38"/>
  <c r="R28"/>
  <c r="F12"/>
  <c r="F29"/>
  <c r="F29" i="4" s="1"/>
  <c r="J12" i="1"/>
  <c r="J29"/>
  <c r="J29" i="4" s="1"/>
  <c r="N12" i="1"/>
  <c r="N29"/>
  <c r="V12"/>
  <c r="V29"/>
  <c r="Z12"/>
  <c r="Z29"/>
  <c r="AD12"/>
  <c r="AD29"/>
  <c r="AH12"/>
  <c r="AH29"/>
  <c r="AL12"/>
  <c r="AL29"/>
  <c r="AP12"/>
  <c r="AP29"/>
  <c r="AT12"/>
  <c r="AT12" i="4" s="1"/>
  <c r="E13" i="1"/>
  <c r="I13"/>
  <c r="M13"/>
  <c r="Q13"/>
  <c r="AV14"/>
  <c r="AV9"/>
  <c r="S13"/>
  <c r="W13"/>
  <c r="AA13"/>
  <c r="AE13"/>
  <c r="AI13"/>
  <c r="AM13"/>
  <c r="AQ13"/>
  <c r="AU13"/>
  <c r="L29" l="1"/>
  <c r="L29" i="4" s="1"/>
  <c r="L12" i="1"/>
  <c r="T29"/>
  <c r="T12"/>
  <c r="AK29"/>
  <c r="AK12"/>
  <c r="AN29"/>
  <c r="AN12"/>
  <c r="AR29"/>
  <c r="AR12"/>
  <c r="H29"/>
  <c r="H12"/>
  <c r="P29"/>
  <c r="P12"/>
  <c r="AS29"/>
  <c r="AS12"/>
  <c r="Y29"/>
  <c r="Y12"/>
  <c r="U29"/>
  <c r="U12"/>
  <c r="X29"/>
  <c r="X12"/>
  <c r="AG29"/>
  <c r="AG12"/>
  <c r="AB29"/>
  <c r="AB12"/>
  <c r="AC29"/>
  <c r="AC12"/>
  <c r="AF29"/>
  <c r="AF12"/>
  <c r="AO29"/>
  <c r="AO12"/>
  <c r="AJ29"/>
  <c r="AJ12"/>
  <c r="AI29"/>
  <c r="AI12"/>
  <c r="S29"/>
  <c r="S12"/>
  <c r="AV12"/>
  <c r="AV30"/>
  <c r="Q29"/>
  <c r="Q12"/>
  <c r="R37"/>
  <c r="K38"/>
  <c r="K38" i="4" s="1"/>
  <c r="K28" i="1"/>
  <c r="K28" i="4" s="1"/>
  <c r="AM29" i="1"/>
  <c r="AM12"/>
  <c r="W29"/>
  <c r="W12"/>
  <c r="E29"/>
  <c r="E29" i="4" s="1"/>
  <c r="E12" i="1"/>
  <c r="AT38"/>
  <c r="AT38" i="4" s="1"/>
  <c r="AT28" i="1"/>
  <c r="AT28" i="4" s="1"/>
  <c r="AL38" i="1"/>
  <c r="AL28"/>
  <c r="AD38"/>
  <c r="AD28"/>
  <c r="V38"/>
  <c r="V28"/>
  <c r="J38"/>
  <c r="J38" i="4" s="1"/>
  <c r="J28" i="1"/>
  <c r="J28" i="4" s="1"/>
  <c r="AQ29" i="1"/>
  <c r="AQ12"/>
  <c r="AA29"/>
  <c r="AA12"/>
  <c r="I29"/>
  <c r="I29" i="4" s="1"/>
  <c r="I12" i="1"/>
  <c r="O38"/>
  <c r="O28"/>
  <c r="G38"/>
  <c r="G38" i="4" s="1"/>
  <c r="G28" i="1"/>
  <c r="G28" i="4" s="1"/>
  <c r="AU29" i="1"/>
  <c r="AU12"/>
  <c r="AE29"/>
  <c r="AE12"/>
  <c r="M29"/>
  <c r="M12"/>
  <c r="AP38"/>
  <c r="AP28"/>
  <c r="AH38"/>
  <c r="AH28"/>
  <c r="Z38"/>
  <c r="Z28"/>
  <c r="N38"/>
  <c r="N28"/>
  <c r="F38"/>
  <c r="F38" i="4" s="1"/>
  <c r="F28" i="1"/>
  <c r="F28" i="4" s="1"/>
  <c r="AJ38" i="1" l="1"/>
  <c r="AJ28"/>
  <c r="AF38"/>
  <c r="AF28"/>
  <c r="AB28"/>
  <c r="AB38"/>
  <c r="X38"/>
  <c r="X28"/>
  <c r="Y28"/>
  <c r="Y38"/>
  <c r="P38"/>
  <c r="P28"/>
  <c r="AR28"/>
  <c r="AR38"/>
  <c r="AK38"/>
  <c r="AK28"/>
  <c r="L28"/>
  <c r="L28" i="4" s="1"/>
  <c r="L38" i="1"/>
  <c r="L38" i="4" s="1"/>
  <c r="AO28" i="1"/>
  <c r="AO38"/>
  <c r="AC28"/>
  <c r="AC38"/>
  <c r="AG28"/>
  <c r="AG38"/>
  <c r="U38"/>
  <c r="U28"/>
  <c r="AS28"/>
  <c r="AS38"/>
  <c r="H28"/>
  <c r="H38"/>
  <c r="AN28"/>
  <c r="AN38"/>
  <c r="T28"/>
  <c r="T38"/>
  <c r="Z37"/>
  <c r="M38"/>
  <c r="M28"/>
  <c r="G37"/>
  <c r="G37" i="4" s="1"/>
  <c r="AA38" i="1"/>
  <c r="AA28"/>
  <c r="J37"/>
  <c r="J37" i="4" s="1"/>
  <c r="AD37" i="1"/>
  <c r="AT37"/>
  <c r="AT37" i="4" s="1"/>
  <c r="E38" i="1"/>
  <c r="E38" i="4" s="1"/>
  <c r="E28" i="1"/>
  <c r="E28" i="4" s="1"/>
  <c r="AM38" i="1"/>
  <c r="AM28"/>
  <c r="AI38"/>
  <c r="AI28"/>
  <c r="AV39"/>
  <c r="AV28"/>
  <c r="AH37"/>
  <c r="AE38"/>
  <c r="AE28"/>
  <c r="O37"/>
  <c r="I38"/>
  <c r="I38" i="4" s="1"/>
  <c r="I28" i="1"/>
  <c r="I28" i="4" s="1"/>
  <c r="AQ38" i="1"/>
  <c r="AQ28"/>
  <c r="V37"/>
  <c r="AL37"/>
  <c r="W38"/>
  <c r="W28"/>
  <c r="K37"/>
  <c r="K37" i="4" s="1"/>
  <c r="Q38" i="1"/>
  <c r="Q28"/>
  <c r="S38"/>
  <c r="S28"/>
  <c r="F37"/>
  <c r="F37" i="4" s="1"/>
  <c r="AP37" i="1"/>
  <c r="AU38"/>
  <c r="AU28"/>
  <c r="N37"/>
  <c r="U37" l="1"/>
  <c r="AJ37"/>
  <c r="T37"/>
  <c r="H37"/>
  <c r="AC37"/>
  <c r="L37"/>
  <c r="L37" i="4" s="1"/>
  <c r="AR37" i="1"/>
  <c r="Y37"/>
  <c r="AB37"/>
  <c r="AK37"/>
  <c r="P37"/>
  <c r="X37"/>
  <c r="AF37"/>
  <c r="AN37"/>
  <c r="AS37"/>
  <c r="AG37"/>
  <c r="AO37"/>
  <c r="W37"/>
  <c r="AV37"/>
  <c r="E37"/>
  <c r="E37" i="4" s="1"/>
  <c r="AA37" i="1"/>
  <c r="AU37"/>
  <c r="AQ37"/>
  <c r="S37"/>
  <c r="AE37"/>
  <c r="AI37"/>
  <c r="AM37"/>
  <c r="M37"/>
  <c r="Q37"/>
  <c r="I37"/>
  <c r="I37" i="4" s="1"/>
</calcChain>
</file>

<file path=xl/sharedStrings.xml><?xml version="1.0" encoding="utf-8"?>
<sst xmlns="http://schemas.openxmlformats.org/spreadsheetml/2006/main" count="204" uniqueCount="44">
  <si>
    <r>
      <t xml:space="preserve">Table1-  Outstanding Debt - Consolidated Nonfinancial Public Sector </t>
    </r>
    <r>
      <rPr>
        <b/>
        <u/>
        <sz val="11"/>
        <rFont val="Arial Narrow"/>
        <family val="2"/>
      </rPr>
      <t>1</t>
    </r>
    <r>
      <rPr>
        <b/>
        <sz val="11"/>
        <rFont val="Arial Narrow"/>
        <family val="2"/>
      </rPr>
      <t>/</t>
    </r>
  </si>
  <si>
    <t>In Billions of Pesos</t>
  </si>
  <si>
    <t>March</t>
  </si>
  <si>
    <t>June</t>
  </si>
  <si>
    <t>Sep</t>
  </si>
  <si>
    <t>Dec</t>
  </si>
  <si>
    <t>Mar</t>
  </si>
  <si>
    <t>Jun</t>
  </si>
  <si>
    <t>1.</t>
  </si>
  <si>
    <t>National government</t>
  </si>
  <si>
    <t>Domestic</t>
  </si>
  <si>
    <t>Foreign</t>
  </si>
  <si>
    <t>2.</t>
  </si>
  <si>
    <r>
      <t xml:space="preserve">Minus:  National government debt held by Bond Sinking Fund (BSF) </t>
    </r>
    <r>
      <rPr>
        <u/>
        <sz val="11"/>
        <color indexed="10"/>
        <rFont val="Arial Narrow"/>
        <family val="2"/>
      </rPr>
      <t>2</t>
    </r>
    <r>
      <rPr>
        <sz val="11"/>
        <color indexed="10"/>
        <rFont val="Arial Narrow"/>
        <family val="2"/>
      </rPr>
      <t>/</t>
    </r>
  </si>
  <si>
    <t>3.</t>
  </si>
  <si>
    <t>National government, consolidated with BSF (1-2)</t>
  </si>
  <si>
    <t>4.</t>
  </si>
  <si>
    <t>Central bank/CB-BOL</t>
  </si>
  <si>
    <t>5.</t>
  </si>
  <si>
    <r>
      <t xml:space="preserve">Social security institutions (GSIS, SSS, PHIC)  </t>
    </r>
    <r>
      <rPr>
        <u/>
        <sz val="11"/>
        <color indexed="12"/>
        <rFont val="Arial Narrow"/>
        <family val="2"/>
      </rPr>
      <t>3</t>
    </r>
    <r>
      <rPr>
        <sz val="11"/>
        <color indexed="12"/>
        <rFont val="Arial Narrow"/>
        <family val="2"/>
      </rPr>
      <t>/</t>
    </r>
  </si>
  <si>
    <t>6.</t>
  </si>
  <si>
    <t>Local government units (LGU's)</t>
  </si>
  <si>
    <t>7.</t>
  </si>
  <si>
    <t>General government debt, unconsolidated (3+4+5+6)</t>
  </si>
  <si>
    <t>8.</t>
  </si>
  <si>
    <r>
      <t>Minus</t>
    </r>
    <r>
      <rPr>
        <sz val="11"/>
        <color indexed="10"/>
        <rFont val="Arial Narrow"/>
        <family val="2"/>
      </rPr>
      <t>: Intrasector-debt holdings (domestic)</t>
    </r>
  </si>
  <si>
    <t>National government debt held by SSIs</t>
  </si>
  <si>
    <t>National government debt held by LGUs</t>
  </si>
  <si>
    <t>LGUs loan held by MDFO</t>
  </si>
  <si>
    <t>9.</t>
  </si>
  <si>
    <t>Total consolidated general government debt (7-8)</t>
  </si>
  <si>
    <t>•</t>
  </si>
  <si>
    <t>GDP</t>
  </si>
  <si>
    <t>Compiled by FPPO, Department of Finance.</t>
  </si>
  <si>
    <t>1/</t>
  </si>
  <si>
    <t>The consolidated nonfinancial public sector comprises the general government sector and nonfinancial public corporations. The</t>
  </si>
  <si>
    <t>consolidated nonfinancial public sector does not include financial public corporations.</t>
  </si>
  <si>
    <t>2/</t>
  </si>
  <si>
    <t>Including Securities Stabilization Fund. Also includes adjustment in the NG held in BSF foreign components previously unreported.</t>
  </si>
  <si>
    <t>3/</t>
  </si>
  <si>
    <t>CB-BOL  already paid in full its foreign obligation last January 2012</t>
  </si>
  <si>
    <t>** by Edna Hachero as of June 2015</t>
  </si>
  <si>
    <t>*** updated by Leo Allan Halcon as of October 2015</t>
  </si>
  <si>
    <t>Table1-  General Government Debt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</si>
</sst>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#,##0.0"/>
    <numFmt numFmtId="165" formatCode="0.0"/>
    <numFmt numFmtId="166" formatCode="_(* #,##0.0_);_(* \(#,##0.0\);_(* &quot;-&quot;??_);_(@_)"/>
    <numFmt numFmtId="167" formatCode="0.0%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u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color indexed="12"/>
      <name val="Arial Narrow"/>
      <family val="2"/>
    </font>
    <font>
      <sz val="11"/>
      <color rgb="FF0070C0"/>
      <name val="Arial Narrow"/>
      <family val="2"/>
    </font>
    <font>
      <sz val="12"/>
      <color rgb="FF0070C0"/>
      <name val="Arial Narrow"/>
      <family val="2"/>
    </font>
    <font>
      <sz val="11"/>
      <color rgb="FF002060"/>
      <name val="Arial Narrow"/>
      <family val="2"/>
    </font>
    <font>
      <sz val="12"/>
      <name val="Arial Narrow"/>
      <family val="2"/>
    </font>
    <font>
      <sz val="11"/>
      <color indexed="10"/>
      <name val="Arial Narrow"/>
      <family val="2"/>
    </font>
    <font>
      <u/>
      <sz val="11"/>
      <color indexed="10"/>
      <name val="Arial Narrow"/>
      <family val="2"/>
    </font>
    <font>
      <sz val="11"/>
      <color rgb="FFFF0000"/>
      <name val="Arial Narrow"/>
      <family val="2"/>
    </font>
    <font>
      <u/>
      <sz val="11"/>
      <color rgb="FFFF0000"/>
      <name val="Arial Narrow"/>
      <family val="2"/>
    </font>
    <font>
      <u/>
      <sz val="12"/>
      <color rgb="FFFF0000"/>
      <name val="Arial Narrow"/>
      <family val="2"/>
    </font>
    <font>
      <u/>
      <sz val="11"/>
      <color indexed="12"/>
      <name val="Arial Narrow"/>
      <family val="2"/>
    </font>
    <font>
      <sz val="11"/>
      <color indexed="53"/>
      <name val="Arial Narrow"/>
      <family val="2"/>
    </font>
    <font>
      <b/>
      <sz val="11"/>
      <color indexed="12"/>
      <name val="Arial Narrow"/>
      <family val="2"/>
    </font>
    <font>
      <b/>
      <sz val="11"/>
      <color indexed="9"/>
      <name val="Arial Narrow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2" fillId="0" borderId="0" xfId="0" applyFont="1" applyBorder="1"/>
    <xf numFmtId="0" fontId="4" fillId="0" borderId="0" xfId="0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6" fillId="0" borderId="0" xfId="0" quotePrefix="1" applyFont="1"/>
    <xf numFmtId="0" fontId="6" fillId="0" borderId="0" xfId="0" applyFont="1"/>
    <xf numFmtId="164" fontId="6" fillId="0" borderId="0" xfId="1" applyNumberFormat="1" applyFont="1"/>
    <xf numFmtId="164" fontId="7" fillId="0" borderId="0" xfId="1" applyNumberFormat="1" applyFont="1"/>
    <xf numFmtId="164" fontId="6" fillId="0" borderId="0" xfId="1" applyNumberFormat="1" applyFont="1" applyFill="1"/>
    <xf numFmtId="164" fontId="7" fillId="0" borderId="0" xfId="1" applyNumberFormat="1" applyFont="1" applyFill="1"/>
    <xf numFmtId="164" fontId="8" fillId="0" borderId="0" xfId="1" applyNumberFormat="1" applyFont="1"/>
    <xf numFmtId="164" fontId="4" fillId="0" borderId="0" xfId="1" applyNumberFormat="1" applyFont="1" applyBorder="1"/>
    <xf numFmtId="164" fontId="4" fillId="0" borderId="0" xfId="0" applyNumberFormat="1" applyFont="1" applyFill="1"/>
    <xf numFmtId="164" fontId="9" fillId="0" borderId="0" xfId="0" applyNumberFormat="1" applyFont="1"/>
    <xf numFmtId="164" fontId="10" fillId="0" borderId="0" xfId="0" applyNumberFormat="1" applyFont="1"/>
    <xf numFmtId="164" fontId="4" fillId="0" borderId="0" xfId="1" applyNumberFormat="1" applyFont="1"/>
    <xf numFmtId="0" fontId="11" fillId="0" borderId="0" xfId="0" quotePrefix="1" applyFont="1"/>
    <xf numFmtId="0" fontId="11" fillId="0" borderId="0" xfId="0" applyFont="1"/>
    <xf numFmtId="164" fontId="11" fillId="0" borderId="0" xfId="1" applyNumberFormat="1" applyFont="1"/>
    <xf numFmtId="164" fontId="13" fillId="0" borderId="0" xfId="1" applyNumberFormat="1" applyFont="1"/>
    <xf numFmtId="164" fontId="11" fillId="0" borderId="0" xfId="1" applyNumberFormat="1" applyFont="1" applyFill="1"/>
    <xf numFmtId="164" fontId="13" fillId="0" borderId="0" xfId="1" applyNumberFormat="1" applyFont="1" applyFill="1"/>
    <xf numFmtId="164" fontId="14" fillId="0" borderId="0" xfId="1" applyNumberFormat="1" applyFont="1"/>
    <xf numFmtId="164" fontId="15" fillId="0" borderId="0" xfId="1" applyNumberFormat="1" applyFont="1"/>
    <xf numFmtId="0" fontId="4" fillId="0" borderId="0" xfId="0" quotePrefix="1" applyFont="1"/>
    <xf numFmtId="164" fontId="4" fillId="0" borderId="0" xfId="0" applyNumberFormat="1" applyFont="1" applyAlignment="1">
      <alignment horizontal="right"/>
    </xf>
    <xf numFmtId="164" fontId="9" fillId="0" borderId="0" xfId="0" applyNumberFormat="1" applyFont="1" applyFill="1"/>
    <xf numFmtId="164" fontId="10" fillId="2" borderId="0" xfId="0" applyNumberFormat="1" applyFont="1" applyFill="1"/>
    <xf numFmtId="164" fontId="4" fillId="0" borderId="0" xfId="1" applyNumberFormat="1" applyFont="1" applyFill="1"/>
    <xf numFmtId="164" fontId="9" fillId="0" borderId="0" xfId="1" applyNumberFormat="1" applyFont="1"/>
    <xf numFmtId="164" fontId="10" fillId="0" borderId="0" xfId="1" applyNumberFormat="1" applyFont="1"/>
    <xf numFmtId="164" fontId="13" fillId="0" borderId="0" xfId="0" applyNumberFormat="1" applyFont="1"/>
    <xf numFmtId="0" fontId="6" fillId="0" borderId="0" xfId="0" quotePrefix="1" applyFont="1" applyFill="1"/>
    <xf numFmtId="0" fontId="6" fillId="0" borderId="0" xfId="0" applyFont="1" applyFill="1"/>
    <xf numFmtId="0" fontId="4" fillId="0" borderId="0" xfId="0" applyFont="1" applyFill="1"/>
    <xf numFmtId="165" fontId="4" fillId="0" borderId="0" xfId="0" applyNumberFormat="1" applyFont="1"/>
    <xf numFmtId="165" fontId="4" fillId="0" borderId="0" xfId="0" applyNumberFormat="1" applyFont="1" applyFill="1"/>
    <xf numFmtId="165" fontId="9" fillId="0" borderId="0" xfId="0" applyNumberFormat="1" applyFont="1"/>
    <xf numFmtId="164" fontId="11" fillId="0" borderId="0" xfId="0" applyNumberFormat="1" applyFont="1"/>
    <xf numFmtId="0" fontId="12" fillId="0" borderId="0" xfId="0" applyFont="1"/>
    <xf numFmtId="164" fontId="17" fillId="0" borderId="0" xfId="1" applyNumberFormat="1" applyFont="1" applyFill="1"/>
    <xf numFmtId="164" fontId="14" fillId="0" borderId="0" xfId="1" applyNumberFormat="1" applyFont="1" applyFill="1"/>
    <xf numFmtId="164" fontId="4" fillId="0" borderId="0" xfId="0" applyNumberFormat="1" applyFont="1" applyBorder="1"/>
    <xf numFmtId="0" fontId="4" fillId="0" borderId="2" xfId="0" applyFont="1" applyBorder="1"/>
    <xf numFmtId="164" fontId="4" fillId="0" borderId="2" xfId="1" applyNumberFormat="1" applyFont="1" applyBorder="1"/>
    <xf numFmtId="164" fontId="4" fillId="0" borderId="2" xfId="0" applyNumberFormat="1" applyFont="1" applyBorder="1"/>
    <xf numFmtId="0" fontId="18" fillId="0" borderId="0" xfId="0" quotePrefix="1" applyFont="1"/>
    <xf numFmtId="0" fontId="18" fillId="0" borderId="0" xfId="0" applyFont="1"/>
    <xf numFmtId="164" fontId="18" fillId="0" borderId="1" xfId="1" applyNumberFormat="1" applyFont="1" applyBorder="1"/>
    <xf numFmtId="164" fontId="2" fillId="0" borderId="0" xfId="1" applyNumberFormat="1" applyFont="1" applyFill="1" applyBorder="1"/>
    <xf numFmtId="164" fontId="2" fillId="0" borderId="2" xfId="1" applyNumberFormat="1" applyFont="1" applyBorder="1"/>
    <xf numFmtId="164" fontId="2" fillId="0" borderId="0" xfId="0" applyNumberFormat="1" applyFont="1" applyBorder="1"/>
    <xf numFmtId="0" fontId="19" fillId="3" borderId="0" xfId="0" applyFont="1" applyFill="1" applyAlignment="1">
      <alignment horizontal="center"/>
    </xf>
    <xf numFmtId="0" fontId="19" fillId="3" borderId="0" xfId="0" applyFont="1" applyFill="1"/>
    <xf numFmtId="166" fontId="19" fillId="3" borderId="0" xfId="1" applyNumberFormat="1" applyFont="1" applyFill="1"/>
    <xf numFmtId="164" fontId="19" fillId="3" borderId="0" xfId="0" applyNumberFormat="1" applyFont="1" applyFill="1"/>
    <xf numFmtId="166" fontId="20" fillId="3" borderId="3" xfId="1" applyNumberFormat="1" applyFont="1" applyFill="1" applyBorder="1"/>
    <xf numFmtId="166" fontId="20" fillId="3" borderId="0" xfId="1" applyNumberFormat="1" applyFont="1" applyFill="1"/>
    <xf numFmtId="164" fontId="19" fillId="3" borderId="0" xfId="1" applyNumberFormat="1" applyFont="1" applyFill="1"/>
    <xf numFmtId="164" fontId="20" fillId="3" borderId="0" xfId="1" applyNumberFormat="1" applyFont="1" applyFill="1"/>
    <xf numFmtId="166" fontId="21" fillId="3" borderId="0" xfId="1" applyNumberFormat="1" applyFont="1" applyFill="1"/>
    <xf numFmtId="22" fontId="4" fillId="0" borderId="0" xfId="0" applyNumberFormat="1" applyFont="1"/>
    <xf numFmtId="22" fontId="4" fillId="0" borderId="0" xfId="0" applyNumberFormat="1" applyFont="1" applyAlignment="1">
      <alignment horizontal="right"/>
    </xf>
    <xf numFmtId="3" fontId="5" fillId="0" borderId="0" xfId="0" applyNumberFormat="1" applyFont="1"/>
    <xf numFmtId="15" fontId="4" fillId="0" borderId="0" xfId="0" applyNumberFormat="1" applyFont="1" applyFill="1"/>
    <xf numFmtId="164" fontId="2" fillId="0" borderId="0" xfId="1" applyNumberFormat="1" applyFont="1" applyBorder="1"/>
    <xf numFmtId="3" fontId="0" fillId="0" borderId="0" xfId="0" applyNumberFormat="1"/>
    <xf numFmtId="10" fontId="4" fillId="0" borderId="0" xfId="2" applyNumberFormat="1" applyFont="1"/>
    <xf numFmtId="167" fontId="4" fillId="0" borderId="0" xfId="2" applyNumberFormat="1" applyFont="1"/>
    <xf numFmtId="167" fontId="6" fillId="0" borderId="0" xfId="2" applyNumberFormat="1" applyFont="1"/>
    <xf numFmtId="167" fontId="11" fillId="0" borderId="0" xfId="2" applyNumberFormat="1" applyFont="1"/>
    <xf numFmtId="167" fontId="4" fillId="0" borderId="0" xfId="2" applyNumberFormat="1" applyFont="1" applyAlignment="1">
      <alignment horizontal="right"/>
    </xf>
    <xf numFmtId="167" fontId="6" fillId="0" borderId="0" xfId="2" applyNumberFormat="1" applyFont="1" applyFill="1"/>
    <xf numFmtId="167" fontId="4" fillId="0" borderId="0" xfId="2" applyNumberFormat="1" applyFont="1" applyFill="1"/>
    <xf numFmtId="167" fontId="18" fillId="0" borderId="1" xfId="2" applyNumberFormat="1" applyFont="1" applyBorder="1"/>
    <xf numFmtId="167" fontId="2" fillId="0" borderId="0" xfId="2" applyNumberFormat="1" applyFont="1" applyFill="1" applyBorder="1"/>
    <xf numFmtId="167" fontId="2" fillId="0" borderId="2" xfId="2" applyNumberFormat="1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ctipgos/Desktop/EDNA%20FILES/Desktop/ednaley/OPSD%20Quarterly%202004-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1"/>
      <sheetName val="tab2"/>
      <sheetName val="14 MNFGCs"/>
      <sheetName val="GDP"/>
      <sheetName val="BSP"/>
      <sheetName val="SSIs"/>
      <sheetName val="GFIs"/>
      <sheetName val="Table 1b"/>
      <sheetName val="Table 2b"/>
      <sheetName val="selected bsp accts."/>
      <sheetName val="Sheet1"/>
      <sheetName val="Table 1a"/>
      <sheetName val="Table 2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">
          <cell r="C11">
            <v>32.58291979234</v>
          </cell>
          <cell r="D11">
            <v>35.689560780880001</v>
          </cell>
          <cell r="E11">
            <v>43.839409733869999</v>
          </cell>
          <cell r="G11">
            <v>7.5110000000000001</v>
          </cell>
          <cell r="H11">
            <v>11.41611193999</v>
          </cell>
          <cell r="I11">
            <v>13.62084929884</v>
          </cell>
          <cell r="J1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D48"/>
  <sheetViews>
    <sheetView topLeftCell="AL16" workbookViewId="0">
      <selection activeCell="BA38" sqref="BA38"/>
    </sheetView>
  </sheetViews>
  <sheetFormatPr defaultRowHeight="15"/>
  <cols>
    <col min="1" max="3" width="2.42578125" customWidth="1"/>
    <col min="4" max="4" width="51" customWidth="1"/>
    <col min="49" max="49" width="9.5703125" bestFit="1" customWidth="1"/>
    <col min="51" max="51" width="9.5703125" bestFit="1" customWidth="1"/>
  </cols>
  <sheetData>
    <row r="1" spans="1:56" ht="14.1" customHeight="1">
      <c r="A1" s="1" t="s">
        <v>43</v>
      </c>
      <c r="B1" s="2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2" spans="1:56" ht="14.1" customHeight="1">
      <c r="A2" s="5" t="s">
        <v>1</v>
      </c>
      <c r="B2" s="6"/>
      <c r="C2" s="6"/>
      <c r="D2" s="6"/>
      <c r="E2" s="2"/>
      <c r="F2" s="2"/>
      <c r="G2" s="2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"/>
      <c r="AD2" s="4"/>
      <c r="AE2" s="4"/>
      <c r="AF2" s="2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56" ht="14.1" customHeight="1">
      <c r="A3" s="7"/>
      <c r="B3" s="8"/>
      <c r="C3" s="8"/>
      <c r="D3" s="8"/>
      <c r="E3" s="85">
        <v>2004</v>
      </c>
      <c r="F3" s="86"/>
      <c r="G3" s="86"/>
      <c r="H3" s="86"/>
      <c r="I3" s="85">
        <v>2005</v>
      </c>
      <c r="J3" s="85"/>
      <c r="K3" s="85"/>
      <c r="L3" s="85"/>
      <c r="M3" s="85">
        <v>2006</v>
      </c>
      <c r="N3" s="85"/>
      <c r="O3" s="85"/>
      <c r="P3" s="85"/>
      <c r="Q3" s="85">
        <v>2007</v>
      </c>
      <c r="R3" s="85"/>
      <c r="S3" s="85"/>
      <c r="T3" s="85"/>
      <c r="U3" s="85">
        <v>2008</v>
      </c>
      <c r="V3" s="85"/>
      <c r="W3" s="85"/>
      <c r="X3" s="85"/>
      <c r="Y3" s="85">
        <v>2009</v>
      </c>
      <c r="Z3" s="85"/>
      <c r="AA3" s="85"/>
      <c r="AB3" s="85"/>
      <c r="AC3" s="85">
        <v>2010</v>
      </c>
      <c r="AD3" s="85"/>
      <c r="AE3" s="85"/>
      <c r="AF3" s="85"/>
      <c r="AG3" s="85">
        <v>2011</v>
      </c>
      <c r="AH3" s="85"/>
      <c r="AI3" s="85"/>
      <c r="AJ3" s="85"/>
      <c r="AK3" s="85">
        <v>2012</v>
      </c>
      <c r="AL3" s="85"/>
      <c r="AM3" s="85"/>
      <c r="AN3" s="85"/>
      <c r="AO3" s="85">
        <v>2013</v>
      </c>
      <c r="AP3" s="85"/>
      <c r="AQ3" s="85"/>
      <c r="AR3" s="85"/>
      <c r="AS3" s="85">
        <v>2014</v>
      </c>
      <c r="AT3" s="85"/>
      <c r="AU3" s="85"/>
      <c r="AV3" s="85"/>
      <c r="AW3" s="85">
        <v>2015</v>
      </c>
      <c r="AX3" s="85"/>
      <c r="AY3" s="85"/>
      <c r="AZ3" s="85"/>
      <c r="BA3" s="85">
        <v>2016</v>
      </c>
      <c r="BB3" s="85"/>
      <c r="BC3" s="85"/>
      <c r="BD3" s="85"/>
    </row>
    <row r="4" spans="1:56" s="84" customFormat="1" ht="14.1" customHeight="1">
      <c r="A4" s="10"/>
      <c r="B4" s="10"/>
      <c r="C4" s="10"/>
      <c r="D4" s="10"/>
      <c r="E4" s="10" t="s">
        <v>2</v>
      </c>
      <c r="F4" s="10" t="s">
        <v>3</v>
      </c>
      <c r="G4" s="10" t="s">
        <v>4</v>
      </c>
      <c r="H4" s="10" t="s">
        <v>5</v>
      </c>
      <c r="I4" s="10" t="s">
        <v>6</v>
      </c>
      <c r="J4" s="10" t="s">
        <v>7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4</v>
      </c>
      <c r="P4" s="10" t="s">
        <v>5</v>
      </c>
      <c r="Q4" s="10" t="s">
        <v>6</v>
      </c>
      <c r="R4" s="10" t="s">
        <v>7</v>
      </c>
      <c r="S4" s="10" t="s">
        <v>4</v>
      </c>
      <c r="T4" s="10" t="s">
        <v>5</v>
      </c>
      <c r="U4" s="10" t="s">
        <v>6</v>
      </c>
      <c r="V4" s="10" t="s">
        <v>7</v>
      </c>
      <c r="W4" s="10" t="s">
        <v>4</v>
      </c>
      <c r="X4" s="10" t="s">
        <v>5</v>
      </c>
      <c r="Y4" s="10" t="s">
        <v>6</v>
      </c>
      <c r="Z4" s="10" t="s">
        <v>7</v>
      </c>
      <c r="AA4" s="10" t="s">
        <v>4</v>
      </c>
      <c r="AB4" s="10" t="s">
        <v>5</v>
      </c>
      <c r="AC4" s="10" t="s">
        <v>6</v>
      </c>
      <c r="AD4" s="10" t="s">
        <v>7</v>
      </c>
      <c r="AE4" s="10" t="s">
        <v>4</v>
      </c>
      <c r="AF4" s="10" t="s">
        <v>5</v>
      </c>
      <c r="AG4" s="10" t="s">
        <v>6</v>
      </c>
      <c r="AH4" s="10" t="s">
        <v>7</v>
      </c>
      <c r="AI4" s="10" t="s">
        <v>4</v>
      </c>
      <c r="AJ4" s="10" t="s">
        <v>5</v>
      </c>
      <c r="AK4" s="10" t="s">
        <v>6</v>
      </c>
      <c r="AL4" s="10" t="s">
        <v>7</v>
      </c>
      <c r="AM4" s="10" t="s">
        <v>4</v>
      </c>
      <c r="AN4" s="10" t="s">
        <v>5</v>
      </c>
      <c r="AO4" s="10" t="s">
        <v>6</v>
      </c>
      <c r="AP4" s="10" t="s">
        <v>7</v>
      </c>
      <c r="AQ4" s="10" t="s">
        <v>4</v>
      </c>
      <c r="AR4" s="10" t="s">
        <v>5</v>
      </c>
      <c r="AS4" s="10" t="s">
        <v>6</v>
      </c>
      <c r="AT4" s="10" t="s">
        <v>7</v>
      </c>
      <c r="AU4" s="10" t="s">
        <v>4</v>
      </c>
      <c r="AV4" s="10" t="s">
        <v>5</v>
      </c>
      <c r="AW4" s="10" t="s">
        <v>6</v>
      </c>
      <c r="AX4" s="10" t="s">
        <v>7</v>
      </c>
      <c r="AY4" s="10" t="s">
        <v>4</v>
      </c>
      <c r="AZ4" s="10" t="s">
        <v>5</v>
      </c>
      <c r="BA4" s="10" t="s">
        <v>6</v>
      </c>
      <c r="BB4" s="10" t="s">
        <v>7</v>
      </c>
      <c r="BC4" s="10" t="s">
        <v>4</v>
      </c>
      <c r="BD4" s="10" t="s">
        <v>5</v>
      </c>
    </row>
    <row r="5" spans="1:56" ht="14.1" customHeight="1">
      <c r="A5" s="11" t="s">
        <v>8</v>
      </c>
      <c r="B5" s="12" t="s">
        <v>9</v>
      </c>
      <c r="C5" s="12"/>
      <c r="D5" s="12"/>
      <c r="E5" s="13">
        <f t="shared" ref="E5:Y5" si="0">E6+E7</f>
        <v>3464.5820000000003</v>
      </c>
      <c r="F5" s="13">
        <f t="shared" si="0"/>
        <v>3536.8239999999996</v>
      </c>
      <c r="G5" s="13">
        <f t="shared" si="0"/>
        <v>3729.01</v>
      </c>
      <c r="H5" s="13">
        <f t="shared" si="0"/>
        <v>3811.9539999999997</v>
      </c>
      <c r="I5" s="13">
        <f t="shared" si="0"/>
        <v>3868.9720000000002</v>
      </c>
      <c r="J5" s="13">
        <f t="shared" si="0"/>
        <v>3891.0320000000002</v>
      </c>
      <c r="K5" s="13">
        <f t="shared" si="0"/>
        <v>4018.8679999999999</v>
      </c>
      <c r="L5" s="13">
        <f t="shared" si="0"/>
        <v>3888.2310000000002</v>
      </c>
      <c r="M5" s="13">
        <f t="shared" si="0"/>
        <v>3962.4960000000001</v>
      </c>
      <c r="N5" s="13">
        <f t="shared" si="0"/>
        <v>3998.5060000000003</v>
      </c>
      <c r="O5" s="13">
        <f t="shared" si="0"/>
        <v>3928.3119999999999</v>
      </c>
      <c r="P5" s="13">
        <f t="shared" si="0"/>
        <v>3851.5060000000003</v>
      </c>
      <c r="Q5" s="14">
        <f>Q6+Q7</f>
        <v>3931.2640000000001</v>
      </c>
      <c r="R5" s="14">
        <f>R6+R7</f>
        <v>3782.2489999999998</v>
      </c>
      <c r="S5" s="15">
        <f t="shared" si="0"/>
        <v>3831.76</v>
      </c>
      <c r="T5" s="15">
        <f t="shared" si="0"/>
        <v>3712.4870000000001</v>
      </c>
      <c r="U5" s="13">
        <f t="shared" si="0"/>
        <v>3881.3490000000002</v>
      </c>
      <c r="V5" s="13">
        <f t="shared" si="0"/>
        <v>3963.527</v>
      </c>
      <c r="W5" s="13">
        <f t="shared" si="0"/>
        <v>4100.6679999999997</v>
      </c>
      <c r="X5" s="16">
        <f t="shared" si="0"/>
        <v>4220.9030000000002</v>
      </c>
      <c r="Y5" s="13">
        <f t="shared" si="0"/>
        <v>4228.5969999999998</v>
      </c>
      <c r="Z5" s="14">
        <f>Z6+Z7</f>
        <v>4227.107</v>
      </c>
      <c r="AA5" s="14">
        <f>AA6+AA7</f>
        <v>4338.4110000000001</v>
      </c>
      <c r="AB5" s="16">
        <f>AB6+AB7</f>
        <v>4396.6399999999994</v>
      </c>
      <c r="AC5" s="14">
        <f t="shared" ref="AC5:AP5" si="1">AC6+AC7</f>
        <v>4458.0829999999996</v>
      </c>
      <c r="AD5" s="14">
        <f t="shared" si="1"/>
        <v>4582.4250000000002</v>
      </c>
      <c r="AE5" s="14">
        <f t="shared" si="1"/>
        <v>4664.1890000000003</v>
      </c>
      <c r="AF5" s="14">
        <f t="shared" si="1"/>
        <v>4718.1710000000003</v>
      </c>
      <c r="AG5" s="14">
        <f t="shared" si="1"/>
        <v>4705.6270000000004</v>
      </c>
      <c r="AH5" s="14">
        <f t="shared" si="1"/>
        <v>4810.1049999999996</v>
      </c>
      <c r="AI5" s="14">
        <f t="shared" si="1"/>
        <v>4870.8209999999999</v>
      </c>
      <c r="AJ5" s="14">
        <f t="shared" si="1"/>
        <v>4951.1880000000001</v>
      </c>
      <c r="AK5" s="14">
        <f t="shared" si="1"/>
        <v>5088.9390000000003</v>
      </c>
      <c r="AL5" s="14">
        <f t="shared" si="1"/>
        <v>5100.6010000000006</v>
      </c>
      <c r="AM5" s="14">
        <f t="shared" si="1"/>
        <v>5213.0519999999997</v>
      </c>
      <c r="AN5" s="14">
        <f t="shared" si="1"/>
        <v>5437.1040000000003</v>
      </c>
      <c r="AO5" s="14">
        <f t="shared" si="1"/>
        <v>5281.48</v>
      </c>
      <c r="AP5" s="14">
        <f t="shared" si="1"/>
        <v>5451.3280000000004</v>
      </c>
      <c r="AQ5" s="14">
        <f t="shared" ref="AQ5:AY5" si="2">AQ6+AQ7</f>
        <v>5609.665</v>
      </c>
      <c r="AR5" s="14">
        <f t="shared" si="2"/>
        <v>5681.1530000000002</v>
      </c>
      <c r="AS5" s="14">
        <f t="shared" si="2"/>
        <v>5628.4250000000002</v>
      </c>
      <c r="AT5" s="17">
        <f t="shared" si="2"/>
        <v>5650.8819999999996</v>
      </c>
      <c r="AU5" s="14">
        <f t="shared" si="2"/>
        <v>5723.0059999999994</v>
      </c>
      <c r="AV5" s="14">
        <f t="shared" si="2"/>
        <v>5735.2420000000002</v>
      </c>
      <c r="AW5" s="14">
        <f t="shared" si="2"/>
        <v>5787.3950000000004</v>
      </c>
      <c r="AX5" s="14">
        <f t="shared" si="2"/>
        <v>5816.2160000000003</v>
      </c>
      <c r="AY5" s="14">
        <f t="shared" si="2"/>
        <v>5935.69381680675</v>
      </c>
    </row>
    <row r="6" spans="1:56" ht="14.1" customHeight="1">
      <c r="A6" s="2"/>
      <c r="B6" s="2"/>
      <c r="C6" s="2" t="s">
        <v>10</v>
      </c>
      <c r="D6" s="2"/>
      <c r="E6" s="3">
        <v>1762.7470000000001</v>
      </c>
      <c r="F6" s="3">
        <v>1833.4949999999999</v>
      </c>
      <c r="G6" s="3">
        <v>1960.78</v>
      </c>
      <c r="H6" s="18">
        <v>2001.22</v>
      </c>
      <c r="I6" s="3">
        <v>2059.4650000000001</v>
      </c>
      <c r="J6" s="3">
        <v>2034.992</v>
      </c>
      <c r="K6" s="3">
        <v>2144.4679999999998</v>
      </c>
      <c r="L6" s="3">
        <v>2164.2930000000001</v>
      </c>
      <c r="M6" s="3">
        <v>2190.3629999999998</v>
      </c>
      <c r="N6" s="3">
        <v>2161.3670000000002</v>
      </c>
      <c r="O6" s="3">
        <v>2164.366</v>
      </c>
      <c r="P6" s="3">
        <v>2154.078</v>
      </c>
      <c r="Q6" s="3">
        <v>2177.788</v>
      </c>
      <c r="R6" s="3">
        <v>2118.8609999999999</v>
      </c>
      <c r="S6" s="19">
        <v>2205.9690000000001</v>
      </c>
      <c r="T6" s="19">
        <v>2201.1669999999999</v>
      </c>
      <c r="U6" s="3">
        <v>2286.6779999999999</v>
      </c>
      <c r="V6" s="3">
        <v>2303.223</v>
      </c>
      <c r="W6" s="3">
        <v>2369.4340000000002</v>
      </c>
      <c r="X6" s="19">
        <v>2414.4279999999999</v>
      </c>
      <c r="Y6" s="3">
        <v>2386.9789999999998</v>
      </c>
      <c r="Z6" s="3">
        <v>2376.0889999999999</v>
      </c>
      <c r="AA6" s="3">
        <v>2424.2020000000002</v>
      </c>
      <c r="AB6" s="19">
        <v>2470.04</v>
      </c>
      <c r="AC6" s="3">
        <v>2536.6669999999999</v>
      </c>
      <c r="AD6" s="3">
        <v>2595.8139999999999</v>
      </c>
      <c r="AE6" s="3">
        <v>2698.4870000000001</v>
      </c>
      <c r="AF6" s="3">
        <v>2718.2020000000002</v>
      </c>
      <c r="AG6" s="3">
        <v>2666.672</v>
      </c>
      <c r="AH6" s="3">
        <v>2758.8130000000001</v>
      </c>
      <c r="AI6" s="3">
        <v>2780.8339999999998</v>
      </c>
      <c r="AJ6" s="3">
        <v>2873.357</v>
      </c>
      <c r="AK6" s="3">
        <v>3015.02</v>
      </c>
      <c r="AL6" s="3">
        <v>3050.0540000000001</v>
      </c>
      <c r="AM6" s="3">
        <v>3184.8589999999999</v>
      </c>
      <c r="AN6" s="3">
        <v>3468.375</v>
      </c>
      <c r="AO6" s="3">
        <v>3406.134</v>
      </c>
      <c r="AP6" s="20">
        <v>3501.7910000000002</v>
      </c>
      <c r="AQ6" s="20">
        <v>3677.5680000000002</v>
      </c>
      <c r="AR6" s="3">
        <v>3733.422</v>
      </c>
      <c r="AS6" s="3">
        <v>3662.3209999999999</v>
      </c>
      <c r="AT6" s="21">
        <v>3731.7950000000001</v>
      </c>
      <c r="AU6" s="3">
        <v>3759.3449999999998</v>
      </c>
      <c r="AV6" s="3">
        <v>3820.6030000000001</v>
      </c>
      <c r="AW6" s="3">
        <v>3854.6970000000001</v>
      </c>
      <c r="AX6" s="3">
        <v>3839.31</v>
      </c>
      <c r="AY6" s="3">
        <v>3883.1614378941499</v>
      </c>
    </row>
    <row r="7" spans="1:56" ht="14.1" customHeight="1">
      <c r="A7" s="2"/>
      <c r="B7" s="2"/>
      <c r="C7" s="2" t="s">
        <v>11</v>
      </c>
      <c r="D7" s="2"/>
      <c r="E7" s="3">
        <v>1701.835</v>
      </c>
      <c r="F7" s="3">
        <v>1703.329</v>
      </c>
      <c r="G7" s="3">
        <v>1768.23</v>
      </c>
      <c r="H7" s="22">
        <v>1810.7339999999999</v>
      </c>
      <c r="I7" s="3">
        <v>1809.5070000000001</v>
      </c>
      <c r="J7" s="3">
        <v>1856.04</v>
      </c>
      <c r="K7" s="3">
        <v>1874.4</v>
      </c>
      <c r="L7" s="3">
        <v>1723.9380000000001</v>
      </c>
      <c r="M7" s="3">
        <v>1772.133</v>
      </c>
      <c r="N7" s="3">
        <v>1837.1389999999999</v>
      </c>
      <c r="O7" s="3">
        <v>1763.9459999999999</v>
      </c>
      <c r="P7" s="3">
        <v>1697.4280000000001</v>
      </c>
      <c r="Q7" s="3">
        <v>1753.4760000000001</v>
      </c>
      <c r="R7" s="3">
        <v>1663.3879999999999</v>
      </c>
      <c r="S7" s="19">
        <v>1625.7909999999999</v>
      </c>
      <c r="T7" s="19">
        <v>1511.32</v>
      </c>
      <c r="U7" s="3">
        <v>1594.671</v>
      </c>
      <c r="V7" s="3">
        <v>1660.3040000000001</v>
      </c>
      <c r="W7" s="3">
        <v>1731.2339999999999</v>
      </c>
      <c r="X7" s="19">
        <v>1806.4749999999999</v>
      </c>
      <c r="Y7" s="3">
        <v>1841.6179999999999</v>
      </c>
      <c r="Z7" s="3">
        <v>1851.018</v>
      </c>
      <c r="AA7" s="3">
        <v>1914.2090000000001</v>
      </c>
      <c r="AB7" s="19">
        <v>1926.6</v>
      </c>
      <c r="AC7" s="3">
        <v>1921.4159999999999</v>
      </c>
      <c r="AD7" s="3">
        <v>1986.6110000000001</v>
      </c>
      <c r="AE7" s="3">
        <v>1965.702</v>
      </c>
      <c r="AF7" s="3">
        <v>1999.9690000000001</v>
      </c>
      <c r="AG7" s="3">
        <v>2038.9549999999999</v>
      </c>
      <c r="AH7" s="3">
        <v>2051.2919999999999</v>
      </c>
      <c r="AI7" s="3">
        <v>2089.9870000000001</v>
      </c>
      <c r="AJ7" s="3">
        <v>2077.8310000000001</v>
      </c>
      <c r="AK7" s="3">
        <v>2073.9189999999999</v>
      </c>
      <c r="AL7" s="3">
        <v>2050.547</v>
      </c>
      <c r="AM7" s="3">
        <v>2028.193</v>
      </c>
      <c r="AN7" s="3">
        <v>1968.729</v>
      </c>
      <c r="AO7" s="3">
        <v>1875.346</v>
      </c>
      <c r="AP7" s="20">
        <v>1949.537</v>
      </c>
      <c r="AQ7" s="20">
        <v>1932.097</v>
      </c>
      <c r="AR7" s="3">
        <v>1947.731</v>
      </c>
      <c r="AS7" s="3">
        <v>1966.104</v>
      </c>
      <c r="AT7" s="21">
        <v>1919.087</v>
      </c>
      <c r="AU7" s="3">
        <v>1963.6610000000001</v>
      </c>
      <c r="AV7" s="3">
        <v>1914.6389999999999</v>
      </c>
      <c r="AW7" s="3">
        <v>1932.6980000000001</v>
      </c>
      <c r="AX7" s="3">
        <v>1976.9059999999999</v>
      </c>
      <c r="AY7" s="3">
        <v>2052.5323789126001</v>
      </c>
    </row>
    <row r="8" spans="1:56" ht="14.1" customHeight="1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2"/>
      <c r="AC8" s="2"/>
      <c r="AD8" s="2"/>
      <c r="AE8" s="2"/>
      <c r="AF8" s="2"/>
      <c r="AG8" s="2"/>
      <c r="AH8" s="2"/>
      <c r="AI8" s="2"/>
      <c r="AJ8" s="2"/>
      <c r="AK8" s="4"/>
      <c r="AL8" s="4"/>
      <c r="AM8" s="4"/>
      <c r="AN8" s="4"/>
      <c r="AO8" s="4"/>
      <c r="AP8" s="4"/>
      <c r="AQ8" s="4"/>
      <c r="AR8" s="4"/>
      <c r="AS8" s="4"/>
    </row>
    <row r="9" spans="1:56" ht="14.1" customHeight="1">
      <c r="A9" s="23" t="s">
        <v>12</v>
      </c>
      <c r="B9" s="24" t="s">
        <v>13</v>
      </c>
      <c r="C9" s="24"/>
      <c r="D9" s="24"/>
      <c r="E9" s="25">
        <f t="shared" ref="E9:Y9" si="3">E10+E11</f>
        <v>293.55712</v>
      </c>
      <c r="F9" s="25">
        <f t="shared" si="3"/>
        <v>352.49086999999997</v>
      </c>
      <c r="G9" s="25">
        <f t="shared" si="3"/>
        <v>389.33102000000002</v>
      </c>
      <c r="H9" s="25">
        <f t="shared" si="3"/>
        <v>414.87021999999996</v>
      </c>
      <c r="I9" s="25">
        <f t="shared" si="3"/>
        <v>428.33492000000001</v>
      </c>
      <c r="J9" s="25">
        <f t="shared" si="3"/>
        <v>405.10820999999999</v>
      </c>
      <c r="K9" s="25">
        <f t="shared" si="3"/>
        <v>434.58213999999998</v>
      </c>
      <c r="L9" s="25">
        <f t="shared" si="3"/>
        <v>467.52572000000004</v>
      </c>
      <c r="M9" s="25">
        <f t="shared" si="3"/>
        <v>488.93432000000007</v>
      </c>
      <c r="N9" s="25">
        <f t="shared" si="3"/>
        <v>517.19160999999997</v>
      </c>
      <c r="O9" s="25">
        <f t="shared" si="3"/>
        <v>523.59400999999991</v>
      </c>
      <c r="P9" s="25">
        <f t="shared" si="3"/>
        <v>511.33054000000004</v>
      </c>
      <c r="Q9" s="26">
        <f>Q10+Q11</f>
        <v>552.30462999999997</v>
      </c>
      <c r="R9" s="26">
        <f>R10+R11</f>
        <v>562.81420000000003</v>
      </c>
      <c r="S9" s="27">
        <f t="shared" si="3"/>
        <v>548.25009</v>
      </c>
      <c r="T9" s="27">
        <f t="shared" si="3"/>
        <v>534.35642000000007</v>
      </c>
      <c r="U9" s="25">
        <f t="shared" si="3"/>
        <v>627.42672000000005</v>
      </c>
      <c r="V9" s="25">
        <f t="shared" si="3"/>
        <v>611.76830000000007</v>
      </c>
      <c r="W9" s="25">
        <f t="shared" si="3"/>
        <v>623.66252000000009</v>
      </c>
      <c r="X9" s="27">
        <f t="shared" si="3"/>
        <v>615.77286000000004</v>
      </c>
      <c r="Y9" s="25">
        <f t="shared" si="3"/>
        <v>605.30141000000003</v>
      </c>
      <c r="Z9" s="26">
        <f>Z10+Z11</f>
        <v>604.45476000000008</v>
      </c>
      <c r="AA9" s="26">
        <f>AA10+AA11</f>
        <v>621.11698000000013</v>
      </c>
      <c r="AB9" s="28">
        <f>AB10+AB11</f>
        <v>619.81132000000002</v>
      </c>
      <c r="AC9" s="26">
        <f t="shared" ref="AC9:AP9" si="4">AC10+AC11</f>
        <v>693.16472999999996</v>
      </c>
      <c r="AD9" s="26">
        <f t="shared" si="4"/>
        <v>676.55663000000004</v>
      </c>
      <c r="AE9" s="26">
        <f t="shared" si="4"/>
        <v>643.66311000000007</v>
      </c>
      <c r="AF9" s="26">
        <f t="shared" si="4"/>
        <v>673.53811999999994</v>
      </c>
      <c r="AG9" s="26">
        <f t="shared" si="4"/>
        <v>454.05810232583997</v>
      </c>
      <c r="AH9" s="26">
        <f t="shared" si="4"/>
        <v>459.73533326284002</v>
      </c>
      <c r="AI9" s="26">
        <f t="shared" si="4"/>
        <v>436.03149086908002</v>
      </c>
      <c r="AJ9" s="26">
        <f t="shared" si="4"/>
        <v>588.70726573523996</v>
      </c>
      <c r="AK9" s="26">
        <f t="shared" si="4"/>
        <v>529.00642173524</v>
      </c>
      <c r="AL9" s="26">
        <f t="shared" si="4"/>
        <v>579.56019245224002</v>
      </c>
      <c r="AM9" s="26">
        <f t="shared" si="4"/>
        <v>693.22876526523999</v>
      </c>
      <c r="AN9" s="29">
        <f t="shared" si="4"/>
        <v>764.91705526524004</v>
      </c>
      <c r="AO9" s="29">
        <f t="shared" si="4"/>
        <v>742.56838193023998</v>
      </c>
      <c r="AP9" s="29">
        <f t="shared" si="4"/>
        <v>756.22101999999995</v>
      </c>
      <c r="AQ9" s="29">
        <f t="shared" ref="AQ9:AY9" si="5">AQ10+AQ11</f>
        <v>747.11</v>
      </c>
      <c r="AR9" s="29">
        <f t="shared" si="5"/>
        <v>747.94538999999997</v>
      </c>
      <c r="AS9" s="29">
        <f t="shared" si="5"/>
        <v>726.2713</v>
      </c>
      <c r="AT9" s="30">
        <f t="shared" si="5"/>
        <v>733.55230892999998</v>
      </c>
      <c r="AU9" s="29">
        <f t="shared" si="5"/>
        <v>718.86485147223993</v>
      </c>
      <c r="AV9" s="29">
        <f t="shared" si="5"/>
        <v>711.97222999999997</v>
      </c>
      <c r="AW9" s="29">
        <f t="shared" si="5"/>
        <v>719.25109966799994</v>
      </c>
      <c r="AX9" s="29">
        <f t="shared" si="5"/>
        <v>705.73059502824003</v>
      </c>
      <c r="AY9" s="29">
        <f t="shared" si="5"/>
        <v>693.50468469674001</v>
      </c>
    </row>
    <row r="10" spans="1:56" ht="14.1" customHeight="1">
      <c r="A10" s="31"/>
      <c r="B10" s="2"/>
      <c r="C10" s="2" t="s">
        <v>10</v>
      </c>
      <c r="D10" s="2"/>
      <c r="E10" s="3">
        <f>289.38587+1.59538</f>
        <v>290.98124999999999</v>
      </c>
      <c r="F10" s="3">
        <f>347.90647+1.61008</f>
        <v>349.51655</v>
      </c>
      <c r="G10" s="3">
        <f>384.59027+1.65579</f>
        <v>386.24606</v>
      </c>
      <c r="H10" s="3">
        <f>410.09997+1.6672</f>
        <v>411.76716999999996</v>
      </c>
      <c r="I10" s="3">
        <f>423.61901+1.67489</f>
        <v>425.29390000000001</v>
      </c>
      <c r="J10" s="3">
        <f>400.18573+1.71105</f>
        <v>401.89677999999998</v>
      </c>
      <c r="K10" s="3">
        <f>428.78317+1.74787</f>
        <v>430.53103999999996</v>
      </c>
      <c r="L10" s="3">
        <f>461.85235+1.78539</f>
        <v>463.63774000000001</v>
      </c>
      <c r="M10" s="3">
        <f>483.28973+1.82377</f>
        <v>485.11350000000004</v>
      </c>
      <c r="N10" s="3">
        <f>511.285+1.86454</f>
        <v>513.14954</v>
      </c>
      <c r="O10" s="3">
        <f>517.80225+1.91095</f>
        <v>519.71319999999992</v>
      </c>
      <c r="P10" s="3">
        <f>505.55218+1.94607</f>
        <v>507.49825000000004</v>
      </c>
      <c r="Q10" s="3">
        <f>546.47226+1.99699</f>
        <v>548.46924999999999</v>
      </c>
      <c r="R10" s="3">
        <v>559.1</v>
      </c>
      <c r="S10" s="19">
        <f>542.50674+2.06126</f>
        <v>544.56799999999998</v>
      </c>
      <c r="T10" s="19">
        <f>528.82171+2.10224</f>
        <v>530.9239500000001</v>
      </c>
      <c r="U10" s="3">
        <f>622.91969+2.15195</f>
        <v>625.07164</v>
      </c>
      <c r="V10" s="3">
        <f>607.03886+2.19446</f>
        <v>609.23332000000005</v>
      </c>
      <c r="W10" s="3">
        <f>618.50512+2.43996</f>
        <v>620.94508000000008</v>
      </c>
      <c r="X10" s="19">
        <f>610.69847+2.30506</f>
        <v>613.00353000000007</v>
      </c>
      <c r="Y10" s="3">
        <f>600.06506+2.3467</f>
        <v>602.41176000000007</v>
      </c>
      <c r="Z10" s="3">
        <f>599.13638+2.40202</f>
        <v>601.53840000000002</v>
      </c>
      <c r="AA10" s="3">
        <f>614.06875+2.45522</f>
        <v>616.52397000000008</v>
      </c>
      <c r="AB10" s="19">
        <f>613.44416+2.50019</f>
        <v>615.94434999999999</v>
      </c>
      <c r="AC10" s="3">
        <f>690.60876+2.55597</f>
        <v>693.16472999999996</v>
      </c>
      <c r="AD10" s="3">
        <f>673.9555+2.60113</f>
        <v>676.55663000000004</v>
      </c>
      <c r="AE10" s="3">
        <f>641.01867+2.64444</f>
        <v>643.66311000000007</v>
      </c>
      <c r="AF10" s="3">
        <f>612.38865+2.69624</f>
        <v>615.08488999999997</v>
      </c>
      <c r="AG10" s="3">
        <f>451.317504419+2.74059790684</f>
        <v>454.05810232583997</v>
      </c>
      <c r="AH10" s="3">
        <f>456.943335354+2.79199790884</f>
        <v>459.73533326284002</v>
      </c>
      <c r="AI10" s="3">
        <f>433.24959296024+2.78189790884</f>
        <v>436.03149086908002</v>
      </c>
      <c r="AJ10" s="3">
        <f>527.07386573524+2.8334</f>
        <v>529.90726573524</v>
      </c>
      <c r="AK10" s="3">
        <f>526.13856173524+2.86786</f>
        <v>529.00642173524</v>
      </c>
      <c r="AL10" s="3">
        <f>576.63999245224+2.9202</f>
        <v>579.56019245224002</v>
      </c>
      <c r="AM10" s="3">
        <f>690.20076526524+3.028</f>
        <v>693.22876526523999</v>
      </c>
      <c r="AN10" s="3">
        <f>685.83885526524+3.0782</f>
        <v>688.91705526524004</v>
      </c>
      <c r="AO10" s="3">
        <f>667.15418193024+3.1089</f>
        <v>670.26308193023999</v>
      </c>
      <c r="AP10" s="3">
        <f>676.35219+0.0403+3.167</f>
        <v>679.55948999999998</v>
      </c>
      <c r="AQ10" s="20">
        <f>666.76+0.04+3.22</f>
        <v>670.02</v>
      </c>
      <c r="AR10" s="3">
        <f>665.38+0.04+3.28539</f>
        <v>668.70538999999997</v>
      </c>
      <c r="AS10" s="3">
        <f>644.66291+3.3252</f>
        <v>647.98811000000001</v>
      </c>
      <c r="AT10" s="3">
        <f>652.23190893+3.3252</f>
        <v>655.55710893000003</v>
      </c>
      <c r="AU10" s="3">
        <f>636.21942147224+3.309</f>
        <v>639.52842147223998</v>
      </c>
      <c r="AV10" s="3">
        <f>628.37122+2.14738+3.3099</f>
        <v>633.82849999999996</v>
      </c>
      <c r="AW10" s="3">
        <f>639.046799668+3.3099</f>
        <v>642.35669966799992</v>
      </c>
      <c r="AX10" s="3">
        <f>621.92689502824+3.3089</f>
        <v>625.23579502823998</v>
      </c>
      <c r="AY10" s="3">
        <f>606.78960469674+3.3089</f>
        <v>610.09850469673995</v>
      </c>
    </row>
    <row r="11" spans="1:56" ht="14.1" customHeight="1">
      <c r="A11" s="31"/>
      <c r="B11" s="2"/>
      <c r="C11" s="2" t="s">
        <v>11</v>
      </c>
      <c r="D11" s="2"/>
      <c r="E11" s="32">
        <v>2.5758700000000001</v>
      </c>
      <c r="F11" s="32">
        <v>2.9743200000000001</v>
      </c>
      <c r="G11" s="32">
        <v>3.0849600000000001</v>
      </c>
      <c r="H11" s="32">
        <v>3.1030500000000001</v>
      </c>
      <c r="I11" s="3">
        <f>3.04102</f>
        <v>3.0410200000000001</v>
      </c>
      <c r="J11" s="3">
        <v>3.21143</v>
      </c>
      <c r="K11" s="3">
        <v>4.0510999999999999</v>
      </c>
      <c r="L11" s="3">
        <v>3.8879800000000002</v>
      </c>
      <c r="M11" s="3">
        <v>3.8208199999999999</v>
      </c>
      <c r="N11" s="3">
        <v>4.0420699999999998</v>
      </c>
      <c r="O11" s="3">
        <v>3.8808099999999999</v>
      </c>
      <c r="P11" s="3">
        <v>3.83229</v>
      </c>
      <c r="Q11" s="3">
        <v>3.8353799999999998</v>
      </c>
      <c r="R11" s="3">
        <v>3.7141999999999999</v>
      </c>
      <c r="S11" s="19">
        <v>3.6820900000000001</v>
      </c>
      <c r="T11" s="19">
        <v>3.4324699999999999</v>
      </c>
      <c r="U11" s="3">
        <v>2.3550800000000001</v>
      </c>
      <c r="V11" s="3">
        <v>2.53498</v>
      </c>
      <c r="W11" s="3">
        <v>2.7174399999999999</v>
      </c>
      <c r="X11" s="19">
        <v>2.7693300000000001</v>
      </c>
      <c r="Y11" s="3">
        <v>2.8896500000000001</v>
      </c>
      <c r="Z11" s="3">
        <v>2.9163600000000001</v>
      </c>
      <c r="AA11" s="3">
        <v>4.5930099999999996</v>
      </c>
      <c r="AB11" s="33">
        <v>3.8669699999999998</v>
      </c>
      <c r="AC11" s="3">
        <v>0</v>
      </c>
      <c r="AD11" s="3">
        <v>0</v>
      </c>
      <c r="AE11" s="3">
        <v>0</v>
      </c>
      <c r="AF11" s="3">
        <v>58.453229999999998</v>
      </c>
      <c r="AG11" s="3">
        <v>0</v>
      </c>
      <c r="AH11" s="3">
        <v>0</v>
      </c>
      <c r="AI11" s="3">
        <v>0</v>
      </c>
      <c r="AJ11" s="3">
        <v>58.8</v>
      </c>
      <c r="AK11" s="3"/>
      <c r="AL11" s="3">
        <v>0</v>
      </c>
      <c r="AM11" s="3">
        <v>0</v>
      </c>
      <c r="AN11" s="3">
        <v>76</v>
      </c>
      <c r="AO11" s="3">
        <v>72.305300000000003</v>
      </c>
      <c r="AP11" s="20">
        <v>76.661529999999999</v>
      </c>
      <c r="AQ11" s="20">
        <v>77.09</v>
      </c>
      <c r="AR11" s="3">
        <v>79.239999999999995</v>
      </c>
      <c r="AS11" s="3">
        <v>78.283190000000005</v>
      </c>
      <c r="AT11" s="34">
        <v>77.995199999999997</v>
      </c>
      <c r="AU11" s="21">
        <v>79.336429999999993</v>
      </c>
      <c r="AV11" s="21">
        <f>66.47228+11.67145</f>
        <v>78.143730000000005</v>
      </c>
      <c r="AW11" s="21">
        <v>76.894400000000005</v>
      </c>
      <c r="AX11" s="21">
        <v>80.494799999999998</v>
      </c>
      <c r="AY11" s="21">
        <v>83.406180000000006</v>
      </c>
    </row>
    <row r="12" spans="1:56" ht="14.1" customHeight="1">
      <c r="A12" s="11" t="s">
        <v>14</v>
      </c>
      <c r="B12" s="12" t="s">
        <v>15</v>
      </c>
      <c r="C12" s="12"/>
      <c r="D12" s="12"/>
      <c r="E12" s="13">
        <f t="shared" ref="E12:AX12" si="6">E13+E14</f>
        <v>3171.0248799999999</v>
      </c>
      <c r="F12" s="13">
        <f t="shared" si="6"/>
        <v>3184.33313</v>
      </c>
      <c r="G12" s="13">
        <f t="shared" si="6"/>
        <v>3339.6789800000001</v>
      </c>
      <c r="H12" s="13">
        <f t="shared" si="6"/>
        <v>3397.0837799999999</v>
      </c>
      <c r="I12" s="13">
        <f t="shared" si="6"/>
        <v>3440.6370800000004</v>
      </c>
      <c r="J12" s="13">
        <f t="shared" si="6"/>
        <v>3485.9237899999998</v>
      </c>
      <c r="K12" s="13">
        <f t="shared" si="6"/>
        <v>3584.28586</v>
      </c>
      <c r="L12" s="13">
        <f t="shared" si="6"/>
        <v>3420.7052800000001</v>
      </c>
      <c r="M12" s="13">
        <f t="shared" si="6"/>
        <v>3473.5616799999998</v>
      </c>
      <c r="N12" s="13">
        <f t="shared" si="6"/>
        <v>3481.3143900000005</v>
      </c>
      <c r="O12" s="13">
        <f t="shared" si="6"/>
        <v>3404.7179900000001</v>
      </c>
      <c r="P12" s="13">
        <f t="shared" si="6"/>
        <v>3340.1754599999999</v>
      </c>
      <c r="Q12" s="13">
        <f t="shared" si="6"/>
        <v>3378.95937</v>
      </c>
      <c r="R12" s="13">
        <f t="shared" si="6"/>
        <v>3219.4348</v>
      </c>
      <c r="S12" s="13">
        <f t="shared" si="6"/>
        <v>3283.5099099999998</v>
      </c>
      <c r="T12" s="13">
        <f t="shared" si="6"/>
        <v>3178.13058</v>
      </c>
      <c r="U12" s="13">
        <f t="shared" si="6"/>
        <v>3253.9222799999998</v>
      </c>
      <c r="V12" s="13">
        <f t="shared" si="6"/>
        <v>3351.7587000000003</v>
      </c>
      <c r="W12" s="13">
        <f t="shared" si="6"/>
        <v>3477.0054800000003</v>
      </c>
      <c r="X12" s="13">
        <f t="shared" si="6"/>
        <v>3605.1301399999998</v>
      </c>
      <c r="Y12" s="13">
        <f t="shared" si="6"/>
        <v>3623.2955899999997</v>
      </c>
      <c r="Z12" s="13">
        <f t="shared" si="6"/>
        <v>3622.6522400000003</v>
      </c>
      <c r="AA12" s="13">
        <f t="shared" si="6"/>
        <v>3717.2940200000003</v>
      </c>
      <c r="AB12" s="13">
        <f t="shared" si="6"/>
        <v>3776.8286799999996</v>
      </c>
      <c r="AC12" s="14">
        <f t="shared" si="6"/>
        <v>3764.9182700000001</v>
      </c>
      <c r="AD12" s="14">
        <f t="shared" si="6"/>
        <v>3905.8683700000001</v>
      </c>
      <c r="AE12" s="14">
        <f t="shared" si="6"/>
        <v>4020.5258899999999</v>
      </c>
      <c r="AF12" s="14">
        <f t="shared" si="6"/>
        <v>4044.6328800000001</v>
      </c>
      <c r="AG12" s="14">
        <f t="shared" si="6"/>
        <v>4251.5688976741603</v>
      </c>
      <c r="AH12" s="14">
        <f t="shared" si="6"/>
        <v>4350.3696667371605</v>
      </c>
      <c r="AI12" s="14">
        <f t="shared" si="6"/>
        <v>4434.7895091309201</v>
      </c>
      <c r="AJ12" s="14">
        <f t="shared" si="6"/>
        <v>4362.48073426476</v>
      </c>
      <c r="AK12" s="14">
        <f t="shared" si="6"/>
        <v>4559.9325782647593</v>
      </c>
      <c r="AL12" s="14">
        <f t="shared" si="6"/>
        <v>4521.0408075477608</v>
      </c>
      <c r="AM12" s="14">
        <f t="shared" si="6"/>
        <v>4519.8232347347603</v>
      </c>
      <c r="AN12" s="14">
        <f t="shared" si="6"/>
        <v>4672.1869447347599</v>
      </c>
      <c r="AO12" s="14">
        <f t="shared" si="6"/>
        <v>4538.9116180697602</v>
      </c>
      <c r="AP12" s="14">
        <f t="shared" si="6"/>
        <v>4695.1069800000005</v>
      </c>
      <c r="AQ12" s="14">
        <f t="shared" si="6"/>
        <v>4862.5550000000003</v>
      </c>
      <c r="AR12" s="14">
        <f t="shared" si="6"/>
        <v>4933.2076099999995</v>
      </c>
      <c r="AS12" s="14">
        <f t="shared" si="6"/>
        <v>4902.1536999999998</v>
      </c>
      <c r="AT12" s="14">
        <f t="shared" si="6"/>
        <v>4917.3296910700001</v>
      </c>
      <c r="AU12" s="14">
        <f t="shared" si="6"/>
        <v>5004.1411485277595</v>
      </c>
      <c r="AV12" s="14">
        <f t="shared" si="6"/>
        <v>5023.2697699999999</v>
      </c>
      <c r="AW12" s="14">
        <f t="shared" si="6"/>
        <v>5068.1439003320002</v>
      </c>
      <c r="AX12" s="14">
        <f t="shared" si="6"/>
        <v>5110.4854049717596</v>
      </c>
      <c r="AY12" s="14">
        <f t="shared" ref="AY12" si="7">AY13+AY14</f>
        <v>5242.1891321100102</v>
      </c>
    </row>
    <row r="13" spans="1:56" ht="14.1" customHeight="1">
      <c r="A13" s="31"/>
      <c r="B13" s="2"/>
      <c r="C13" s="2" t="s">
        <v>10</v>
      </c>
      <c r="D13" s="2"/>
      <c r="E13" s="3">
        <f t="shared" ref="E13:AV14" si="8">E6-E10</f>
        <v>1471.76575</v>
      </c>
      <c r="F13" s="3">
        <f t="shared" si="8"/>
        <v>1483.9784499999998</v>
      </c>
      <c r="G13" s="3">
        <f t="shared" si="8"/>
        <v>1574.53394</v>
      </c>
      <c r="H13" s="3">
        <f t="shared" si="8"/>
        <v>1589.4528300000002</v>
      </c>
      <c r="I13" s="3">
        <f t="shared" si="8"/>
        <v>1634.1711</v>
      </c>
      <c r="J13" s="3">
        <f t="shared" si="8"/>
        <v>1633.0952199999999</v>
      </c>
      <c r="K13" s="3">
        <f t="shared" si="8"/>
        <v>1713.93696</v>
      </c>
      <c r="L13" s="3">
        <f t="shared" si="8"/>
        <v>1700.65526</v>
      </c>
      <c r="M13" s="3">
        <f t="shared" si="8"/>
        <v>1705.2494999999999</v>
      </c>
      <c r="N13" s="3">
        <f t="shared" si="8"/>
        <v>1648.2174600000003</v>
      </c>
      <c r="O13" s="3">
        <f t="shared" si="8"/>
        <v>1644.6528000000001</v>
      </c>
      <c r="P13" s="3">
        <f t="shared" si="8"/>
        <v>1646.5797499999999</v>
      </c>
      <c r="Q13" s="3">
        <f t="shared" si="8"/>
        <v>1629.3187499999999</v>
      </c>
      <c r="R13" s="3">
        <f t="shared" si="8"/>
        <v>1559.761</v>
      </c>
      <c r="S13" s="3">
        <f t="shared" si="8"/>
        <v>1661.4010000000001</v>
      </c>
      <c r="T13" s="3">
        <f t="shared" si="8"/>
        <v>1670.2430499999998</v>
      </c>
      <c r="U13" s="3">
        <f t="shared" si="8"/>
        <v>1661.6063599999998</v>
      </c>
      <c r="V13" s="3">
        <f t="shared" si="8"/>
        <v>1693.9896799999999</v>
      </c>
      <c r="W13" s="3">
        <f t="shared" si="8"/>
        <v>1748.4889200000002</v>
      </c>
      <c r="X13" s="3">
        <f t="shared" si="8"/>
        <v>1801.4244699999999</v>
      </c>
      <c r="Y13" s="3">
        <f t="shared" si="8"/>
        <v>1784.5672399999999</v>
      </c>
      <c r="Z13" s="3">
        <f t="shared" si="8"/>
        <v>1774.5506</v>
      </c>
      <c r="AA13" s="3">
        <f t="shared" si="8"/>
        <v>1807.67803</v>
      </c>
      <c r="AB13" s="3">
        <f t="shared" si="8"/>
        <v>1854.09565</v>
      </c>
      <c r="AC13" s="3">
        <f t="shared" si="8"/>
        <v>1843.50227</v>
      </c>
      <c r="AD13" s="3">
        <f t="shared" si="8"/>
        <v>1919.2573699999998</v>
      </c>
      <c r="AE13" s="3">
        <f t="shared" si="8"/>
        <v>2054.8238900000001</v>
      </c>
      <c r="AF13" s="3">
        <f t="shared" si="8"/>
        <v>2103.1171100000001</v>
      </c>
      <c r="AG13" s="3">
        <f t="shared" si="8"/>
        <v>2212.6138976741599</v>
      </c>
      <c r="AH13" s="3">
        <f t="shared" si="8"/>
        <v>2299.0776667371601</v>
      </c>
      <c r="AI13" s="3">
        <f t="shared" si="8"/>
        <v>2344.80250913092</v>
      </c>
      <c r="AJ13" s="3">
        <f t="shared" si="8"/>
        <v>2343.4497342647601</v>
      </c>
      <c r="AK13" s="3">
        <f t="shared" si="8"/>
        <v>2486.0135782647599</v>
      </c>
      <c r="AL13" s="3">
        <f t="shared" si="8"/>
        <v>2470.4938075477603</v>
      </c>
      <c r="AM13" s="3">
        <f t="shared" si="8"/>
        <v>2491.6302347347601</v>
      </c>
      <c r="AN13" s="3">
        <f t="shared" si="8"/>
        <v>2779.4579447347601</v>
      </c>
      <c r="AO13" s="3">
        <f t="shared" si="8"/>
        <v>2735.8709180697601</v>
      </c>
      <c r="AP13" s="3">
        <f t="shared" si="8"/>
        <v>2822.2315100000001</v>
      </c>
      <c r="AQ13" s="3">
        <f t="shared" si="8"/>
        <v>3007.5480000000002</v>
      </c>
      <c r="AR13" s="3">
        <f t="shared" si="8"/>
        <v>3064.7166099999999</v>
      </c>
      <c r="AS13" s="3">
        <f t="shared" si="8"/>
        <v>3014.3328899999997</v>
      </c>
      <c r="AT13" s="3">
        <f>AT6-AT10</f>
        <v>3076.2378910699999</v>
      </c>
      <c r="AU13" s="3">
        <f t="shared" si="8"/>
        <v>3119.8165785277597</v>
      </c>
      <c r="AV13" s="3">
        <f t="shared" si="8"/>
        <v>3186.7745</v>
      </c>
      <c r="AW13" s="3">
        <f t="shared" ref="AW13:AX13" si="9">AW6-AW10</f>
        <v>3212.340300332</v>
      </c>
      <c r="AX13" s="3">
        <f t="shared" si="9"/>
        <v>3214.0742049717601</v>
      </c>
      <c r="AY13" s="3">
        <f t="shared" ref="AY13" si="10">AY6-AY10</f>
        <v>3273.0629331974101</v>
      </c>
    </row>
    <row r="14" spans="1:56" ht="14.1" customHeight="1">
      <c r="A14" s="2"/>
      <c r="B14" s="2"/>
      <c r="C14" s="2" t="s">
        <v>11</v>
      </c>
      <c r="D14" s="2"/>
      <c r="E14" s="3">
        <f t="shared" si="8"/>
        <v>1699.2591300000001</v>
      </c>
      <c r="F14" s="3">
        <f t="shared" si="8"/>
        <v>1700.3546799999999</v>
      </c>
      <c r="G14" s="3">
        <f t="shared" si="8"/>
        <v>1765.1450400000001</v>
      </c>
      <c r="H14" s="3">
        <f t="shared" si="8"/>
        <v>1807.63095</v>
      </c>
      <c r="I14" s="3">
        <f t="shared" si="8"/>
        <v>1806.4659800000002</v>
      </c>
      <c r="J14" s="3">
        <f t="shared" si="8"/>
        <v>1852.8285699999999</v>
      </c>
      <c r="K14" s="3">
        <f t="shared" si="8"/>
        <v>1870.3489000000002</v>
      </c>
      <c r="L14" s="3">
        <f t="shared" si="8"/>
        <v>1720.0500200000001</v>
      </c>
      <c r="M14" s="3">
        <f t="shared" si="8"/>
        <v>1768.3121800000001</v>
      </c>
      <c r="N14" s="3">
        <f t="shared" si="8"/>
        <v>1833.0969299999999</v>
      </c>
      <c r="O14" s="3">
        <f t="shared" si="8"/>
        <v>1760.0651899999998</v>
      </c>
      <c r="P14" s="3">
        <f t="shared" si="8"/>
        <v>1693.5957100000001</v>
      </c>
      <c r="Q14" s="3">
        <f t="shared" si="8"/>
        <v>1749.6406200000001</v>
      </c>
      <c r="R14" s="3">
        <f t="shared" si="8"/>
        <v>1659.6738</v>
      </c>
      <c r="S14" s="3">
        <f t="shared" si="8"/>
        <v>1622.1089099999999</v>
      </c>
      <c r="T14" s="3">
        <f t="shared" si="8"/>
        <v>1507.88753</v>
      </c>
      <c r="U14" s="3">
        <f t="shared" si="8"/>
        <v>1592.31592</v>
      </c>
      <c r="V14" s="3">
        <f t="shared" si="8"/>
        <v>1657.7690200000002</v>
      </c>
      <c r="W14" s="3">
        <f t="shared" si="8"/>
        <v>1728.51656</v>
      </c>
      <c r="X14" s="3">
        <f t="shared" si="8"/>
        <v>1803.7056699999998</v>
      </c>
      <c r="Y14" s="3">
        <f t="shared" si="8"/>
        <v>1838.7283499999999</v>
      </c>
      <c r="Z14" s="3">
        <f t="shared" si="8"/>
        <v>1848.1016400000001</v>
      </c>
      <c r="AA14" s="3">
        <f t="shared" si="8"/>
        <v>1909.61599</v>
      </c>
      <c r="AB14" s="3">
        <f t="shared" si="8"/>
        <v>1922.7330299999999</v>
      </c>
      <c r="AC14" s="3">
        <f t="shared" si="8"/>
        <v>1921.4159999999999</v>
      </c>
      <c r="AD14" s="3">
        <f t="shared" si="8"/>
        <v>1986.6110000000001</v>
      </c>
      <c r="AE14" s="3">
        <f t="shared" si="8"/>
        <v>1965.702</v>
      </c>
      <c r="AF14" s="3">
        <f t="shared" si="8"/>
        <v>1941.51577</v>
      </c>
      <c r="AG14" s="3">
        <f t="shared" si="8"/>
        <v>2038.9549999999999</v>
      </c>
      <c r="AH14" s="3">
        <f t="shared" si="8"/>
        <v>2051.2919999999999</v>
      </c>
      <c r="AI14" s="3">
        <f t="shared" si="8"/>
        <v>2089.9870000000001</v>
      </c>
      <c r="AJ14" s="3">
        <f t="shared" si="8"/>
        <v>2019.0310000000002</v>
      </c>
      <c r="AK14" s="3">
        <f t="shared" si="8"/>
        <v>2073.9189999999999</v>
      </c>
      <c r="AL14" s="3">
        <f t="shared" si="8"/>
        <v>2050.547</v>
      </c>
      <c r="AM14" s="3">
        <f t="shared" si="8"/>
        <v>2028.193</v>
      </c>
      <c r="AN14" s="3">
        <f t="shared" si="8"/>
        <v>1892.729</v>
      </c>
      <c r="AO14" s="3">
        <f t="shared" si="8"/>
        <v>1803.0407</v>
      </c>
      <c r="AP14" s="3">
        <f t="shared" si="8"/>
        <v>1872.87547</v>
      </c>
      <c r="AQ14" s="3">
        <f t="shared" si="8"/>
        <v>1855.0070000000001</v>
      </c>
      <c r="AR14" s="3">
        <f t="shared" si="8"/>
        <v>1868.491</v>
      </c>
      <c r="AS14" s="3">
        <f t="shared" si="8"/>
        <v>1887.8208099999999</v>
      </c>
      <c r="AT14" s="3">
        <f t="shared" si="8"/>
        <v>1841.0917999999999</v>
      </c>
      <c r="AU14" s="3">
        <f t="shared" si="8"/>
        <v>1884.32457</v>
      </c>
      <c r="AV14" s="3">
        <f t="shared" si="8"/>
        <v>1836.4952699999999</v>
      </c>
      <c r="AW14" s="3">
        <f t="shared" ref="AW14:AX14" si="11">AW7-AW11</f>
        <v>1855.8036000000002</v>
      </c>
      <c r="AX14" s="3">
        <f t="shared" si="11"/>
        <v>1896.4112</v>
      </c>
      <c r="AY14" s="3">
        <f t="shared" ref="AY14" si="12">AY7-AY11</f>
        <v>1969.1261989126001</v>
      </c>
    </row>
    <row r="15" spans="1:56" ht="14.1" customHeight="1">
      <c r="A15" s="2"/>
      <c r="B15" s="2"/>
      <c r="C15" s="2"/>
      <c r="D15" s="2"/>
      <c r="E15" s="3"/>
      <c r="F15" s="3"/>
      <c r="G15" s="3"/>
      <c r="H15" s="3"/>
      <c r="I15" s="3"/>
      <c r="J15" s="3"/>
      <c r="K15" s="3"/>
      <c r="L15" s="3"/>
      <c r="M15" s="2"/>
      <c r="N15" s="2"/>
      <c r="O15" s="2"/>
      <c r="P15" s="2"/>
      <c r="Q15" s="2"/>
      <c r="R15" s="2"/>
      <c r="S15" s="2"/>
      <c r="T15" s="2"/>
      <c r="U15" s="3"/>
      <c r="V15" s="3"/>
      <c r="W15" s="3"/>
      <c r="X15" s="3"/>
      <c r="Y15" s="3"/>
      <c r="Z15" s="3"/>
      <c r="AA15" s="3"/>
      <c r="AB15" s="2"/>
      <c r="AC15" s="2"/>
      <c r="AD15" s="2"/>
      <c r="AE15" s="2"/>
      <c r="AF15" s="2"/>
      <c r="AG15" s="2"/>
      <c r="AH15" s="2"/>
      <c r="AI15" s="2"/>
      <c r="AJ15" s="2"/>
      <c r="AK15" s="4"/>
      <c r="AL15" s="4"/>
      <c r="AM15" s="4"/>
      <c r="AN15" s="4"/>
      <c r="AO15" s="3"/>
      <c r="AP15" s="4"/>
      <c r="AQ15" s="4"/>
      <c r="AR15" s="4"/>
      <c r="AS15" s="4"/>
    </row>
    <row r="16" spans="1:56" ht="14.1" customHeight="1">
      <c r="A16" s="11" t="s">
        <v>16</v>
      </c>
      <c r="B16" s="12" t="s">
        <v>17</v>
      </c>
      <c r="C16" s="12"/>
      <c r="D16" s="12"/>
      <c r="E16" s="13">
        <f t="shared" ref="E16:Y16" si="13">E17+E18</f>
        <v>58.320999999999998</v>
      </c>
      <c r="F16" s="13">
        <f t="shared" si="13"/>
        <v>55.966414</v>
      </c>
      <c r="G16" s="13">
        <f t="shared" si="13"/>
        <v>52.988999999999997</v>
      </c>
      <c r="H16" s="13">
        <f t="shared" si="13"/>
        <v>48.489862000000002</v>
      </c>
      <c r="I16" s="13">
        <f t="shared" si="13"/>
        <v>43.983584999999998</v>
      </c>
      <c r="J16" s="13">
        <f t="shared" si="13"/>
        <v>43.486755000000002</v>
      </c>
      <c r="K16" s="13">
        <f t="shared" si="13"/>
        <v>42.825612999999997</v>
      </c>
      <c r="L16" s="13">
        <f t="shared" si="13"/>
        <v>39.049985199959998</v>
      </c>
      <c r="M16" s="13">
        <f t="shared" si="13"/>
        <v>37.440557525659997</v>
      </c>
      <c r="N16" s="13">
        <f t="shared" si="13"/>
        <v>15.72078215546</v>
      </c>
      <c r="O16" s="13">
        <f t="shared" si="13"/>
        <v>14.551884927210001</v>
      </c>
      <c r="P16" s="13">
        <f t="shared" si="13"/>
        <v>7.5809125188099999</v>
      </c>
      <c r="Q16" s="14">
        <f>Q17+Q18</f>
        <v>7.2765226069700004</v>
      </c>
      <c r="R16" s="13">
        <f t="shared" si="13"/>
        <v>1.8644636211000001</v>
      </c>
      <c r="S16" s="15">
        <f t="shared" si="13"/>
        <v>1.75864765179</v>
      </c>
      <c r="T16" s="15">
        <f t="shared" si="13"/>
        <v>1.64277736526</v>
      </c>
      <c r="U16" s="13">
        <f t="shared" si="13"/>
        <v>1.65308000728</v>
      </c>
      <c r="V16" s="13">
        <f t="shared" si="13"/>
        <v>1.6438414483699999</v>
      </c>
      <c r="W16" s="13">
        <f t="shared" si="13"/>
        <v>1.5232991545900001</v>
      </c>
      <c r="X16" s="16">
        <f t="shared" si="13"/>
        <v>1.73053632889</v>
      </c>
      <c r="Y16" s="13">
        <f t="shared" si="13"/>
        <v>1.4059219278299999</v>
      </c>
      <c r="Z16" s="14">
        <f>Z17+Z18</f>
        <v>1.43495553157</v>
      </c>
      <c r="AA16" s="14">
        <f>AA17+AA18</f>
        <v>1.26341617049</v>
      </c>
      <c r="AB16" s="16">
        <f>AB17+AB18</f>
        <v>1.19372869374</v>
      </c>
      <c r="AC16" s="14">
        <f t="shared" ref="AC16:AQ16" si="14">AC17+AC18</f>
        <v>0.91588731587000005</v>
      </c>
      <c r="AD16" s="14">
        <f t="shared" si="14"/>
        <v>1.0040737207399999</v>
      </c>
      <c r="AE16" s="14">
        <f t="shared" si="14"/>
        <v>0.75505199669</v>
      </c>
      <c r="AF16" s="14">
        <f t="shared" si="14"/>
        <v>0.77428115839</v>
      </c>
      <c r="AG16" s="14">
        <f t="shared" si="14"/>
        <v>0.49902485523000001</v>
      </c>
      <c r="AH16" s="14">
        <f t="shared" si="14"/>
        <v>0.51519301168999998</v>
      </c>
      <c r="AI16" s="14">
        <f t="shared" si="14"/>
        <v>0.27161751781999999</v>
      </c>
      <c r="AJ16" s="14">
        <f t="shared" si="14"/>
        <v>0.27299181893000002</v>
      </c>
      <c r="AK16" s="14">
        <f t="shared" si="14"/>
        <v>0</v>
      </c>
      <c r="AL16" s="14">
        <f t="shared" si="14"/>
        <v>0</v>
      </c>
      <c r="AM16" s="14">
        <f t="shared" si="14"/>
        <v>0</v>
      </c>
      <c r="AN16" s="14">
        <f t="shared" si="14"/>
        <v>0</v>
      </c>
      <c r="AO16" s="14">
        <f t="shared" si="14"/>
        <v>0</v>
      </c>
      <c r="AP16" s="14">
        <f t="shared" si="14"/>
        <v>0</v>
      </c>
      <c r="AQ16" s="14">
        <f t="shared" si="14"/>
        <v>0</v>
      </c>
      <c r="AR16" s="14">
        <f>AR17+AR18</f>
        <v>0</v>
      </c>
      <c r="AS16" s="17">
        <f>AS17+AS18</f>
        <v>0</v>
      </c>
      <c r="AT16" s="17">
        <f>AT17+AT18</f>
        <v>0</v>
      </c>
      <c r="AU16" s="17">
        <f>AU17+AU18</f>
        <v>0</v>
      </c>
      <c r="AV16" s="17">
        <f>AV17+AV18</f>
        <v>0</v>
      </c>
      <c r="AW16" s="17">
        <f t="shared" ref="AW16:AX16" si="15">AW17+AW18</f>
        <v>0</v>
      </c>
      <c r="AX16" s="17">
        <f t="shared" si="15"/>
        <v>0</v>
      </c>
      <c r="AY16" s="17">
        <f t="shared" ref="AY16" si="16">AY17+AY18</f>
        <v>0</v>
      </c>
    </row>
    <row r="17" spans="1:51" ht="14.1" customHeight="1">
      <c r="A17" s="2"/>
      <c r="B17" s="2"/>
      <c r="C17" s="2" t="s">
        <v>10</v>
      </c>
      <c r="D17" s="2"/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35">
        <v>0</v>
      </c>
      <c r="T17" s="35">
        <v>0</v>
      </c>
      <c r="U17" s="22">
        <v>0</v>
      </c>
      <c r="V17" s="22">
        <v>0</v>
      </c>
      <c r="W17" s="22">
        <v>0</v>
      </c>
      <c r="X17" s="35">
        <v>0</v>
      </c>
      <c r="Y17" s="22">
        <v>0</v>
      </c>
      <c r="Z17" s="22">
        <v>0</v>
      </c>
      <c r="AA17" s="22">
        <v>0</v>
      </c>
      <c r="AB17" s="35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36">
        <v>0</v>
      </c>
      <c r="AQ17" s="36">
        <v>0</v>
      </c>
      <c r="AR17" s="22">
        <v>0</v>
      </c>
      <c r="AS17" s="37">
        <v>0</v>
      </c>
      <c r="AT17" s="37">
        <v>0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</row>
    <row r="18" spans="1:51" ht="14.1" customHeight="1">
      <c r="A18" s="2"/>
      <c r="B18" s="2"/>
      <c r="C18" s="2" t="s">
        <v>11</v>
      </c>
      <c r="D18" s="2"/>
      <c r="E18" s="3">
        <v>58.320999999999998</v>
      </c>
      <c r="F18" s="3">
        <v>55.966414</v>
      </c>
      <c r="G18" s="3">
        <v>52.988999999999997</v>
      </c>
      <c r="H18" s="3">
        <v>48.489862000000002</v>
      </c>
      <c r="I18" s="3">
        <v>43.983584999999998</v>
      </c>
      <c r="J18" s="3">
        <v>43.486755000000002</v>
      </c>
      <c r="K18" s="3">
        <v>42.825612999999997</v>
      </c>
      <c r="L18" s="19">
        <v>39.049985199959998</v>
      </c>
      <c r="M18" s="3">
        <v>37.440557525659997</v>
      </c>
      <c r="N18" s="3">
        <v>15.72078215546</v>
      </c>
      <c r="O18" s="3">
        <v>14.551884927210001</v>
      </c>
      <c r="P18" s="3">
        <v>7.5809125188099999</v>
      </c>
      <c r="Q18" s="3">
        <v>7.2765226069700004</v>
      </c>
      <c r="R18" s="3">
        <v>1.8644636211000001</v>
      </c>
      <c r="S18" s="19">
        <v>1.75864765179</v>
      </c>
      <c r="T18" s="19">
        <v>1.64277736526</v>
      </c>
      <c r="U18" s="3">
        <v>1.65308000728</v>
      </c>
      <c r="V18" s="3">
        <v>1.6438414483699999</v>
      </c>
      <c r="W18" s="3">
        <v>1.5232991545900001</v>
      </c>
      <c r="X18" s="19">
        <v>1.73053632889</v>
      </c>
      <c r="Y18" s="3">
        <v>1.4059219278299999</v>
      </c>
      <c r="Z18" s="3">
        <v>1.43495553157</v>
      </c>
      <c r="AA18" s="3">
        <v>1.26341617049</v>
      </c>
      <c r="AB18" s="19">
        <v>1.19372869374</v>
      </c>
      <c r="AC18" s="3">
        <v>0.91588731587000005</v>
      </c>
      <c r="AD18" s="3">
        <v>1.0040737207399999</v>
      </c>
      <c r="AE18" s="3">
        <v>0.75505199669</v>
      </c>
      <c r="AF18" s="3">
        <v>0.77428115839</v>
      </c>
      <c r="AG18" s="3">
        <v>0.49902485523000001</v>
      </c>
      <c r="AH18" s="3">
        <v>0.51519301168999998</v>
      </c>
      <c r="AI18" s="3">
        <v>0.27161751781999999</v>
      </c>
      <c r="AJ18" s="3">
        <v>0.27299181893000002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20">
        <v>0</v>
      </c>
      <c r="AQ18" s="20">
        <v>0</v>
      </c>
      <c r="AR18" s="3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</row>
    <row r="19" spans="1:51" ht="14.1" customHeight="1">
      <c r="A19" s="2"/>
      <c r="B19" s="2"/>
      <c r="C19" s="2"/>
      <c r="D19" s="2"/>
      <c r="E19" s="3"/>
      <c r="F19" s="3"/>
      <c r="G19" s="3"/>
      <c r="H19" s="3"/>
      <c r="I19" s="3"/>
      <c r="J19" s="3"/>
      <c r="K19" s="3"/>
      <c r="L19" s="3"/>
      <c r="M19" s="2"/>
      <c r="N19" s="2"/>
      <c r="O19" s="2"/>
      <c r="P19" s="2"/>
      <c r="Q19" s="2"/>
      <c r="R19" s="2"/>
      <c r="S19" s="2"/>
      <c r="T19" s="2"/>
      <c r="U19" s="3"/>
      <c r="V19" s="3"/>
      <c r="W19" s="3"/>
      <c r="X19" s="3"/>
      <c r="Y19" s="3"/>
      <c r="Z19" s="3"/>
      <c r="AA19" s="3"/>
      <c r="AB19" s="2"/>
      <c r="AC19" s="2"/>
      <c r="AD19" s="2"/>
      <c r="AE19" s="2"/>
      <c r="AF19" s="2"/>
      <c r="AG19" s="2"/>
      <c r="AH19" s="2"/>
      <c r="AI19" s="2"/>
      <c r="AJ19" s="2"/>
      <c r="AK19" s="38"/>
      <c r="AL19" s="4"/>
      <c r="AM19" s="4"/>
      <c r="AN19" s="4"/>
      <c r="AO19" s="38"/>
      <c r="AP19" s="20"/>
      <c r="AQ19" s="20"/>
      <c r="AR19" s="3"/>
      <c r="AS19" s="4"/>
    </row>
    <row r="20" spans="1:51" ht="14.1" customHeight="1">
      <c r="A20" s="39" t="s">
        <v>18</v>
      </c>
      <c r="B20" s="40" t="s">
        <v>19</v>
      </c>
      <c r="C20" s="40"/>
      <c r="D20" s="40"/>
      <c r="E20" s="15">
        <f t="shared" ref="E20:AQ20" si="17">E21+E22</f>
        <v>32.58291979234</v>
      </c>
      <c r="F20" s="15">
        <f t="shared" si="17"/>
        <v>35.689560780880001</v>
      </c>
      <c r="G20" s="15">
        <f t="shared" si="17"/>
        <v>43.839409733869999</v>
      </c>
      <c r="H20" s="15">
        <f t="shared" si="17"/>
        <v>7.1</v>
      </c>
      <c r="I20" s="15">
        <f t="shared" si="17"/>
        <v>7.5110000000000001</v>
      </c>
      <c r="J20" s="15">
        <f t="shared" si="17"/>
        <v>11.41611193999</v>
      </c>
      <c r="K20" s="15">
        <f t="shared" si="17"/>
        <v>13.62084929884</v>
      </c>
      <c r="L20" s="15">
        <f t="shared" si="17"/>
        <v>0</v>
      </c>
      <c r="M20" s="15">
        <f t="shared" si="17"/>
        <v>0</v>
      </c>
      <c r="N20" s="15">
        <f t="shared" si="17"/>
        <v>0</v>
      </c>
      <c r="O20" s="15">
        <f t="shared" si="17"/>
        <v>0</v>
      </c>
      <c r="P20" s="15">
        <f t="shared" si="17"/>
        <v>0</v>
      </c>
      <c r="Q20" s="15">
        <f t="shared" si="17"/>
        <v>0</v>
      </c>
      <c r="R20" s="15">
        <f t="shared" si="17"/>
        <v>0</v>
      </c>
      <c r="S20" s="15">
        <f t="shared" si="17"/>
        <v>0</v>
      </c>
      <c r="T20" s="15">
        <f t="shared" si="17"/>
        <v>0</v>
      </c>
      <c r="U20" s="15">
        <f t="shared" si="17"/>
        <v>0</v>
      </c>
      <c r="V20" s="15">
        <f t="shared" si="17"/>
        <v>0</v>
      </c>
      <c r="W20" s="15">
        <f t="shared" si="17"/>
        <v>0</v>
      </c>
      <c r="X20" s="15">
        <f t="shared" si="17"/>
        <v>0</v>
      </c>
      <c r="Y20" s="15">
        <f t="shared" si="17"/>
        <v>0</v>
      </c>
      <c r="Z20" s="15">
        <f t="shared" si="17"/>
        <v>0</v>
      </c>
      <c r="AA20" s="15">
        <f t="shared" si="17"/>
        <v>0</v>
      </c>
      <c r="AB20" s="15">
        <f t="shared" si="17"/>
        <v>0</v>
      </c>
      <c r="AC20" s="15">
        <f t="shared" si="17"/>
        <v>0</v>
      </c>
      <c r="AD20" s="15">
        <f t="shared" si="17"/>
        <v>0</v>
      </c>
      <c r="AE20" s="15">
        <f t="shared" si="17"/>
        <v>0</v>
      </c>
      <c r="AF20" s="15">
        <f t="shared" si="17"/>
        <v>0</v>
      </c>
      <c r="AG20" s="16">
        <f t="shared" si="17"/>
        <v>0</v>
      </c>
      <c r="AH20" s="16">
        <f t="shared" si="17"/>
        <v>0</v>
      </c>
      <c r="AI20" s="16">
        <f t="shared" si="17"/>
        <v>0</v>
      </c>
      <c r="AJ20" s="16">
        <f t="shared" si="17"/>
        <v>0</v>
      </c>
      <c r="AK20" s="16">
        <f t="shared" si="17"/>
        <v>0</v>
      </c>
      <c r="AL20" s="16">
        <f t="shared" si="17"/>
        <v>0</v>
      </c>
      <c r="AM20" s="16">
        <f t="shared" si="17"/>
        <v>0</v>
      </c>
      <c r="AN20" s="16">
        <f t="shared" si="17"/>
        <v>0</v>
      </c>
      <c r="AO20" s="16">
        <f t="shared" si="17"/>
        <v>0</v>
      </c>
      <c r="AP20" s="16">
        <f t="shared" si="17"/>
        <v>0</v>
      </c>
      <c r="AQ20" s="16">
        <f t="shared" si="17"/>
        <v>0</v>
      </c>
      <c r="AR20" s="16">
        <f>AR21+AR22</f>
        <v>0</v>
      </c>
      <c r="AS20" s="16">
        <f t="shared" ref="AS20:AX20" si="18">AS21+AS22</f>
        <v>0</v>
      </c>
      <c r="AT20" s="16">
        <f t="shared" si="18"/>
        <v>0</v>
      </c>
      <c r="AU20" s="16">
        <f t="shared" si="18"/>
        <v>0</v>
      </c>
      <c r="AV20" s="16">
        <f t="shared" si="18"/>
        <v>0</v>
      </c>
      <c r="AW20" s="16">
        <f t="shared" si="18"/>
        <v>0</v>
      </c>
      <c r="AX20" s="16">
        <f t="shared" si="18"/>
        <v>0</v>
      </c>
      <c r="AY20" s="16">
        <f t="shared" ref="AY20" si="19">AY21+AY22</f>
        <v>0</v>
      </c>
    </row>
    <row r="21" spans="1:51" ht="14.1" customHeight="1">
      <c r="A21" s="41"/>
      <c r="B21" s="41"/>
      <c r="C21" s="41" t="s">
        <v>10</v>
      </c>
      <c r="D21" s="41"/>
      <c r="E21" s="19">
        <f>[1]SSIs!C11</f>
        <v>32.58291979234</v>
      </c>
      <c r="F21" s="19">
        <f>[1]SSIs!D11</f>
        <v>35.689560780880001</v>
      </c>
      <c r="G21" s="19">
        <f>[1]SSIs!E11</f>
        <v>43.839409733869999</v>
      </c>
      <c r="H21" s="19">
        <v>7.1</v>
      </c>
      <c r="I21" s="19">
        <f>[1]SSIs!G11</f>
        <v>7.5110000000000001</v>
      </c>
      <c r="J21" s="19">
        <f>[1]SSIs!H11</f>
        <v>11.41611193999</v>
      </c>
      <c r="K21" s="19">
        <f>[1]SSIs!I11</f>
        <v>13.62084929884</v>
      </c>
      <c r="L21" s="19">
        <f>[1]SSIs!J11</f>
        <v>0</v>
      </c>
      <c r="M21" s="42">
        <v>0</v>
      </c>
      <c r="N21" s="43">
        <v>0</v>
      </c>
      <c r="O21" s="43">
        <v>0</v>
      </c>
      <c r="P21" s="43">
        <v>0</v>
      </c>
      <c r="Q21" s="42">
        <v>0</v>
      </c>
      <c r="R21" s="43">
        <v>0</v>
      </c>
      <c r="S21" s="43">
        <v>0</v>
      </c>
      <c r="T21" s="43">
        <v>0</v>
      </c>
      <c r="U21" s="19">
        <v>0</v>
      </c>
      <c r="V21" s="19">
        <v>0</v>
      </c>
      <c r="W21" s="19">
        <v>0</v>
      </c>
      <c r="X21" s="19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4">
        <v>0</v>
      </c>
      <c r="AQ21" s="44">
        <v>0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</row>
    <row r="22" spans="1:51" ht="14.1" customHeight="1">
      <c r="A22" s="41"/>
      <c r="B22" s="41"/>
      <c r="C22" s="41" t="s">
        <v>11</v>
      </c>
      <c r="D22" s="41"/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42">
        <v>0</v>
      </c>
      <c r="N22" s="35">
        <v>0</v>
      </c>
      <c r="O22" s="35">
        <v>0</v>
      </c>
      <c r="P22" s="35">
        <v>0</v>
      </c>
      <c r="Q22" s="42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4">
        <v>0</v>
      </c>
      <c r="AQ22" s="44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</row>
    <row r="23" spans="1:51" ht="14.1" customHeight="1">
      <c r="A23" s="2"/>
      <c r="B23" s="2"/>
      <c r="C23" s="2"/>
      <c r="D23" s="2"/>
      <c r="E23" s="3"/>
      <c r="F23" s="3"/>
      <c r="G23" s="3"/>
      <c r="H23" s="3"/>
      <c r="I23" s="3"/>
      <c r="J23" s="3"/>
      <c r="K23" s="3"/>
      <c r="L23" s="3"/>
      <c r="M23" s="2"/>
      <c r="N23" s="2"/>
      <c r="O23" s="2"/>
      <c r="P23" s="2"/>
      <c r="Q23" s="45"/>
      <c r="R23" s="2"/>
      <c r="S23" s="2"/>
      <c r="T23" s="2"/>
      <c r="U23" s="3"/>
      <c r="V23" s="3"/>
      <c r="W23" s="3"/>
      <c r="X23" s="3"/>
      <c r="Y23" s="3"/>
      <c r="Z23" s="3"/>
      <c r="AA23" s="3"/>
      <c r="AB23" s="2"/>
      <c r="AC23" s="2"/>
      <c r="AD23" s="2"/>
      <c r="AE23" s="2"/>
      <c r="AF23" s="2"/>
      <c r="AG23" s="2"/>
      <c r="AH23" s="2"/>
      <c r="AI23" s="2"/>
      <c r="AJ23" s="2"/>
      <c r="AK23" s="4"/>
      <c r="AL23" s="4"/>
      <c r="AM23" s="4"/>
      <c r="AN23" s="4"/>
      <c r="AO23" s="3"/>
      <c r="AP23" s="4"/>
      <c r="AQ23" s="4"/>
      <c r="AR23" s="3"/>
      <c r="AS23" s="4"/>
    </row>
    <row r="24" spans="1:51" ht="14.1" customHeight="1">
      <c r="A24" s="11" t="s">
        <v>20</v>
      </c>
      <c r="B24" s="12" t="s">
        <v>21</v>
      </c>
      <c r="C24" s="12"/>
      <c r="D24" s="12"/>
      <c r="E24" s="13">
        <f t="shared" ref="E24:K24" si="20">E25+E26</f>
        <v>45.26</v>
      </c>
      <c r="F24" s="13">
        <f t="shared" si="20"/>
        <v>46.542000000000002</v>
      </c>
      <c r="G24" s="13">
        <f t="shared" si="20"/>
        <v>48.464000000000006</v>
      </c>
      <c r="H24" s="13">
        <f t="shared" si="20"/>
        <v>49.184640000000002</v>
      </c>
      <c r="I24" s="13">
        <f t="shared" si="20"/>
        <v>50.967063999999993</v>
      </c>
      <c r="J24" s="13">
        <f t="shared" si="20"/>
        <v>52.728439999999999</v>
      </c>
      <c r="K24" s="13">
        <f t="shared" si="20"/>
        <v>54.238081000000001</v>
      </c>
      <c r="L24" s="13">
        <f>L25+L26</f>
        <v>55.040220499690001</v>
      </c>
      <c r="M24" s="13">
        <f>M25+M26</f>
        <v>56.61639291641</v>
      </c>
      <c r="N24" s="13">
        <f>N25+N26</f>
        <v>53.15790953023</v>
      </c>
      <c r="O24" s="13">
        <f>O25+O26</f>
        <v>60.148659626040001</v>
      </c>
      <c r="P24" s="13">
        <f>P25+P26</f>
        <v>63.668317573550006</v>
      </c>
      <c r="Q24" s="14">
        <f t="shared" ref="Q24:W24" si="21">Q25+Q26</f>
        <v>67.566497434659993</v>
      </c>
      <c r="R24" s="14">
        <f t="shared" si="21"/>
        <v>38.716996058179994</v>
      </c>
      <c r="S24" s="15">
        <f t="shared" si="21"/>
        <v>44.52886136683</v>
      </c>
      <c r="T24" s="16">
        <f t="shared" si="21"/>
        <v>43.552410201179995</v>
      </c>
      <c r="U24" s="13">
        <f t="shared" si="21"/>
        <v>44.596551798409998</v>
      </c>
      <c r="V24" s="13">
        <f t="shared" si="21"/>
        <v>45.071510415539997</v>
      </c>
      <c r="W24" s="13">
        <f t="shared" si="21"/>
        <v>48.04695154553</v>
      </c>
      <c r="X24" s="16">
        <f>X25+X26</f>
        <v>51.931769746279997</v>
      </c>
      <c r="Y24" s="13">
        <f>Y25+Y26</f>
        <v>61.7376957006</v>
      </c>
      <c r="Z24" s="14">
        <f>Z25+Z26</f>
        <v>52.461990918689999</v>
      </c>
      <c r="AA24" s="14">
        <f>AA25+AA26</f>
        <v>55.334894328380003</v>
      </c>
      <c r="AB24" s="16">
        <f>AB25+AB26</f>
        <v>58.154281975339998</v>
      </c>
      <c r="AC24" s="14">
        <f t="shared" ref="AC24:AP24" si="22">AC25+AC26</f>
        <v>62.395280341689997</v>
      </c>
      <c r="AD24" s="14">
        <f t="shared" si="22"/>
        <v>66.40364324798</v>
      </c>
      <c r="AE24" s="14">
        <f t="shared" si="22"/>
        <v>68.016462847389988</v>
      </c>
      <c r="AF24" s="14">
        <f t="shared" si="22"/>
        <v>69.025210030059995</v>
      </c>
      <c r="AG24" s="14">
        <f t="shared" si="22"/>
        <v>69.059701686769998</v>
      </c>
      <c r="AH24" s="14">
        <f t="shared" si="22"/>
        <v>66.0364373986</v>
      </c>
      <c r="AI24" s="14">
        <f t="shared" si="22"/>
        <v>66.487394233509988</v>
      </c>
      <c r="AJ24" s="14">
        <f t="shared" si="22"/>
        <v>70.444213006699997</v>
      </c>
      <c r="AK24" s="14">
        <f t="shared" si="22"/>
        <v>70.669299359350006</v>
      </c>
      <c r="AL24" s="14">
        <f t="shared" si="22"/>
        <v>70.943195554595007</v>
      </c>
      <c r="AM24" s="14">
        <f t="shared" si="22"/>
        <v>71.250023620549996</v>
      </c>
      <c r="AN24" s="14">
        <f t="shared" si="22"/>
        <v>73.355976023859995</v>
      </c>
      <c r="AO24" s="14">
        <f t="shared" si="22"/>
        <v>70.805403217049999</v>
      </c>
      <c r="AP24" s="14">
        <f t="shared" si="22"/>
        <v>71.013861662780002</v>
      </c>
      <c r="AQ24" s="14">
        <f t="shared" ref="AQ24:AY24" si="23">AQ25+AQ26</f>
        <v>70.654560760479995</v>
      </c>
      <c r="AR24" s="14">
        <f t="shared" si="23"/>
        <v>71.309035016370004</v>
      </c>
      <c r="AS24" s="14">
        <f t="shared" si="23"/>
        <v>69.341810942569992</v>
      </c>
      <c r="AT24" s="17">
        <f>AT25+AT26</f>
        <v>69.660109401599996</v>
      </c>
      <c r="AU24" s="17">
        <f t="shared" si="23"/>
        <v>68.483771853000007</v>
      </c>
      <c r="AV24" s="17">
        <f t="shared" si="23"/>
        <v>68.516628068339998</v>
      </c>
      <c r="AW24" s="17">
        <f t="shared" si="23"/>
        <v>67.740219636730004</v>
      </c>
      <c r="AX24" s="17">
        <f t="shared" si="23"/>
        <v>67.544014863740003</v>
      </c>
      <c r="AY24" s="17">
        <f t="shared" si="23"/>
        <v>69.422874442280005</v>
      </c>
    </row>
    <row r="25" spans="1:51" ht="14.1" customHeight="1">
      <c r="A25" s="2"/>
      <c r="B25" s="2"/>
      <c r="C25" s="2" t="s">
        <v>10</v>
      </c>
      <c r="D25" s="2"/>
      <c r="E25" s="3">
        <f>44.617+0.643</f>
        <v>45.26</v>
      </c>
      <c r="F25" s="3">
        <f>45.673+0.869</f>
        <v>46.542000000000002</v>
      </c>
      <c r="G25" s="3">
        <f>47.581+0.883</f>
        <v>48.464000000000006</v>
      </c>
      <c r="H25" s="3">
        <f>48.07764+1.107</f>
        <v>49.184640000000002</v>
      </c>
      <c r="I25" s="3">
        <f>49.368064+1.599</f>
        <v>50.967063999999993</v>
      </c>
      <c r="J25" s="3">
        <f>50.89544+1.833</f>
        <v>52.728439999999999</v>
      </c>
      <c r="K25" s="3">
        <f>52.372081+1.866</f>
        <v>54.238081000000001</v>
      </c>
      <c r="L25" s="19">
        <f>53.49050739572+1.54971310397</f>
        <v>55.040220499690001</v>
      </c>
      <c r="M25" s="3">
        <f>55.06440389141+1.551989025</f>
        <v>56.61639291641</v>
      </c>
      <c r="N25" s="3">
        <f>51.23067048023+1.92723905</f>
        <v>53.15790953023</v>
      </c>
      <c r="O25" s="3">
        <f>58.13495250535+2.01370712069</f>
        <v>60.148659626040001</v>
      </c>
      <c r="P25" s="3">
        <f>61.61836045286+2.04995712069</f>
        <v>63.668317573550006</v>
      </c>
      <c r="Q25" s="3">
        <f>65.33407951996+2.2324179147</f>
        <v>67.566497434659993</v>
      </c>
      <c r="R25" s="3">
        <f>37.90994605818+0.80705</f>
        <v>38.716996058179994</v>
      </c>
      <c r="S25" s="19">
        <f>43.77901136683+0.74985</f>
        <v>44.52886136683</v>
      </c>
      <c r="T25" s="19">
        <f>42.84081020118+0.7116</f>
        <v>43.552410201179995</v>
      </c>
      <c r="U25" s="3">
        <f>43.94265179841+0.6539</f>
        <v>44.596551798409998</v>
      </c>
      <c r="V25" s="3">
        <f>44.41761041554+0.6539</f>
        <v>45.071510415539997</v>
      </c>
      <c r="W25" s="3">
        <f>47.47775154553+0.5692</f>
        <v>48.04695154553</v>
      </c>
      <c r="X25" s="19">
        <f>51.36606974628+0.5657</f>
        <v>51.931769746279997</v>
      </c>
      <c r="Y25" s="3">
        <f>61.2516957006+0.486</f>
        <v>61.7376957006</v>
      </c>
      <c r="Z25" s="3">
        <f>51.92249091869+0.5395</f>
        <v>52.461990918689999</v>
      </c>
      <c r="AA25" s="3">
        <f>54.86909432838+0.4658</f>
        <v>55.334894328380003</v>
      </c>
      <c r="AB25" s="19">
        <f>57.52335197534+0.63093</f>
        <v>58.154281975339998</v>
      </c>
      <c r="AC25" s="3">
        <f>61.76158034169+0.6337</f>
        <v>62.395280341689997</v>
      </c>
      <c r="AD25" s="3">
        <f>65.51874324798+0.8849</f>
        <v>66.40364324798</v>
      </c>
      <c r="AE25" s="3">
        <f>67.23026284739+0.7862</f>
        <v>68.016462847389988</v>
      </c>
      <c r="AF25" s="3">
        <f>68.23901003006+0.7862</f>
        <v>69.025210030059995</v>
      </c>
      <c r="AG25" s="3">
        <f>68.35350168677+0.7062</f>
        <v>69.059701686769998</v>
      </c>
      <c r="AH25" s="3">
        <f>65.3452373986+0.6912</f>
        <v>66.0364373986</v>
      </c>
      <c r="AI25" s="3">
        <f>65.79619423351+0.6912</f>
        <v>66.487394233509988</v>
      </c>
      <c r="AJ25" s="3">
        <f>69.8986730067+0.54554</f>
        <v>70.444213006699997</v>
      </c>
      <c r="AK25" s="3">
        <f>70.12375935935+0.54554</f>
        <v>70.669299359350006</v>
      </c>
      <c r="AL25" s="3">
        <f>70.402655554595+0.54054</f>
        <v>70.943195554595007</v>
      </c>
      <c r="AM25" s="3">
        <f>70.70948362055+0.54054</f>
        <v>71.250023620549996</v>
      </c>
      <c r="AN25" s="3">
        <f>72.82043602386+0.53554</f>
        <v>73.355976023859995</v>
      </c>
      <c r="AO25" s="3">
        <f>70.31700321705+0.4884</f>
        <v>70.805403217049999</v>
      </c>
      <c r="AP25" s="20">
        <f>70.52546166278+0.4884</f>
        <v>71.013861662780002</v>
      </c>
      <c r="AQ25" s="20">
        <f>70.16616076048+0.4884</f>
        <v>70.654560760479995</v>
      </c>
      <c r="AR25" s="3">
        <f>70.88694501637+0.42209</f>
        <v>71.309035016370004</v>
      </c>
      <c r="AS25" s="3">
        <f>68.91972094257+0.42209</f>
        <v>69.341810942569992</v>
      </c>
      <c r="AT25" s="21">
        <f>69.2380194016+0.42209</f>
        <v>69.660109401599996</v>
      </c>
      <c r="AU25" s="21">
        <f>68.071681853+0.41209</f>
        <v>68.483771853000007</v>
      </c>
      <c r="AV25" s="21">
        <f>68.11453806834+0.40209</f>
        <v>68.516628068339998</v>
      </c>
      <c r="AW25" s="21">
        <f>67.33812963673+0.40209</f>
        <v>67.740219636730004</v>
      </c>
      <c r="AX25" s="21">
        <f>67.24631486374+0.2977</f>
        <v>67.544014863740003</v>
      </c>
      <c r="AY25" s="21">
        <f>69.12517444228+0.2977</f>
        <v>69.422874442280005</v>
      </c>
    </row>
    <row r="26" spans="1:51" ht="14.1" customHeight="1">
      <c r="A26" s="2"/>
      <c r="B26" s="2"/>
      <c r="C26" s="2" t="s">
        <v>11</v>
      </c>
      <c r="D26" s="2"/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35">
        <v>0</v>
      </c>
      <c r="T26" s="35">
        <v>0</v>
      </c>
      <c r="U26" s="22">
        <v>0</v>
      </c>
      <c r="V26" s="22">
        <v>0</v>
      </c>
      <c r="W26" s="22">
        <v>0</v>
      </c>
      <c r="X26" s="35">
        <v>0</v>
      </c>
      <c r="Y26" s="22">
        <v>0</v>
      </c>
      <c r="Z26" s="22">
        <v>0</v>
      </c>
      <c r="AA26" s="22">
        <v>0</v>
      </c>
      <c r="AB26" s="35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36">
        <v>0</v>
      </c>
      <c r="AQ26" s="36">
        <v>0</v>
      </c>
      <c r="AR26" s="22">
        <v>0</v>
      </c>
      <c r="AS26" s="22">
        <v>0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</row>
    <row r="27" spans="1:51" ht="14.1" customHeight="1">
      <c r="A27" s="2"/>
      <c r="B27" s="2"/>
      <c r="C27" s="2"/>
      <c r="D27" s="2"/>
      <c r="E27" s="3"/>
      <c r="F27" s="3"/>
      <c r="G27" s="3"/>
      <c r="H27" s="3"/>
      <c r="I27" s="3"/>
      <c r="J27" s="3"/>
      <c r="K27" s="3"/>
      <c r="L27" s="3"/>
      <c r="M27" s="2"/>
      <c r="N27" s="2"/>
      <c r="O27" s="2"/>
      <c r="P27" s="2"/>
      <c r="Q27" s="2"/>
      <c r="R27" s="2"/>
      <c r="S27" s="2"/>
      <c r="T27" s="2"/>
      <c r="U27" s="3"/>
      <c r="V27" s="3"/>
      <c r="W27" s="3"/>
      <c r="X27" s="3"/>
      <c r="Y27" s="3"/>
      <c r="Z27" s="3"/>
      <c r="AA27" s="3"/>
      <c r="AB27" s="2"/>
      <c r="AC27" s="2"/>
      <c r="AD27" s="2"/>
      <c r="AE27" s="2"/>
      <c r="AF27" s="2"/>
      <c r="AG27" s="2"/>
      <c r="AH27" s="2"/>
      <c r="AI27" s="2"/>
      <c r="AJ27" s="2"/>
      <c r="AK27" s="4"/>
      <c r="AL27" s="4"/>
      <c r="AM27" s="4"/>
      <c r="AN27" s="4"/>
      <c r="AO27" s="38"/>
      <c r="AP27" s="4"/>
      <c r="AQ27" s="4"/>
      <c r="AR27" s="4"/>
      <c r="AS27" s="4"/>
    </row>
    <row r="28" spans="1:51" ht="14.1" customHeight="1">
      <c r="A28" s="11" t="s">
        <v>22</v>
      </c>
      <c r="B28" s="12" t="s">
        <v>23</v>
      </c>
      <c r="C28" s="12"/>
      <c r="D28" s="12"/>
      <c r="E28" s="13">
        <f t="shared" ref="E28:AX28" si="24">E29+E30</f>
        <v>3307.18879979234</v>
      </c>
      <c r="F28" s="13">
        <f t="shared" si="24"/>
        <v>3322.5311047808796</v>
      </c>
      <c r="G28" s="13">
        <f t="shared" si="24"/>
        <v>3484.9713897338702</v>
      </c>
      <c r="H28" s="13">
        <f t="shared" si="24"/>
        <v>3501.8582820000001</v>
      </c>
      <c r="I28" s="13">
        <f t="shared" si="24"/>
        <v>3543.0987290000003</v>
      </c>
      <c r="J28" s="13">
        <f t="shared" si="24"/>
        <v>3593.5550969399901</v>
      </c>
      <c r="K28" s="13">
        <f t="shared" si="24"/>
        <v>3694.9704032988402</v>
      </c>
      <c r="L28" s="13">
        <f t="shared" si="24"/>
        <v>3514.7954856996503</v>
      </c>
      <c r="M28" s="13">
        <f t="shared" si="24"/>
        <v>3567.6186304420698</v>
      </c>
      <c r="N28" s="13">
        <f t="shared" si="24"/>
        <v>3550.1930816856902</v>
      </c>
      <c r="O28" s="13">
        <f t="shared" si="24"/>
        <v>3479.4185345532496</v>
      </c>
      <c r="P28" s="13">
        <f t="shared" si="24"/>
        <v>3411.4246900923599</v>
      </c>
      <c r="Q28" s="13">
        <f t="shared" si="24"/>
        <v>3453.8023900416301</v>
      </c>
      <c r="R28" s="13">
        <f t="shared" si="24"/>
        <v>3260.0162596792798</v>
      </c>
      <c r="S28" s="13">
        <f t="shared" si="24"/>
        <v>3329.7974190186196</v>
      </c>
      <c r="T28" s="13">
        <f t="shared" si="24"/>
        <v>3223.3257675664399</v>
      </c>
      <c r="U28" s="13">
        <f t="shared" si="24"/>
        <v>3300.1719118056899</v>
      </c>
      <c r="V28" s="13">
        <f t="shared" si="24"/>
        <v>3398.4740518639101</v>
      </c>
      <c r="W28" s="13">
        <f t="shared" si="24"/>
        <v>3526.5757307001204</v>
      </c>
      <c r="X28" s="13">
        <f t="shared" si="24"/>
        <v>3658.7924460751697</v>
      </c>
      <c r="Y28" s="13">
        <f t="shared" si="24"/>
        <v>3686.4392076284294</v>
      </c>
      <c r="Z28" s="13">
        <f t="shared" si="24"/>
        <v>3676.5491864502601</v>
      </c>
      <c r="AA28" s="13">
        <f t="shared" si="24"/>
        <v>3773.8923304988703</v>
      </c>
      <c r="AB28" s="13">
        <f t="shared" si="24"/>
        <v>3836.17669066908</v>
      </c>
      <c r="AC28" s="13">
        <f t="shared" si="24"/>
        <v>3828.2294376575601</v>
      </c>
      <c r="AD28" s="13">
        <f t="shared" si="24"/>
        <v>3973.2760869687199</v>
      </c>
      <c r="AE28" s="13">
        <f t="shared" si="24"/>
        <v>4089.2974048440801</v>
      </c>
      <c r="AF28" s="13">
        <f t="shared" si="24"/>
        <v>4114.4323711884499</v>
      </c>
      <c r="AG28" s="13">
        <f t="shared" si="24"/>
        <v>4321.1276242161603</v>
      </c>
      <c r="AH28" s="13">
        <f t="shared" si="24"/>
        <v>4416.9212971474499</v>
      </c>
      <c r="AI28" s="13">
        <f t="shared" si="24"/>
        <v>4501.5485208822502</v>
      </c>
      <c r="AJ28" s="13">
        <f t="shared" si="24"/>
        <v>4433.1979390903907</v>
      </c>
      <c r="AK28" s="13">
        <f t="shared" si="24"/>
        <v>4630.6018776241099</v>
      </c>
      <c r="AL28" s="13">
        <f t="shared" si="24"/>
        <v>4591.9840031023559</v>
      </c>
      <c r="AM28" s="13">
        <f t="shared" si="24"/>
        <v>4591.0732583553099</v>
      </c>
      <c r="AN28" s="13">
        <f t="shared" si="24"/>
        <v>4745.5429207586203</v>
      </c>
      <c r="AO28" s="13">
        <f t="shared" si="24"/>
        <v>4609.7170212868095</v>
      </c>
      <c r="AP28" s="13">
        <f t="shared" si="24"/>
        <v>4766.1208416627796</v>
      </c>
      <c r="AQ28" s="13">
        <f t="shared" si="24"/>
        <v>4933.2095607604806</v>
      </c>
      <c r="AR28" s="13">
        <f t="shared" si="24"/>
        <v>5004.5166450163706</v>
      </c>
      <c r="AS28" s="13">
        <f t="shared" si="24"/>
        <v>4971.49551094257</v>
      </c>
      <c r="AT28" s="13">
        <f t="shared" si="24"/>
        <v>4986.9898004715997</v>
      </c>
      <c r="AU28" s="13">
        <f t="shared" si="24"/>
        <v>5072.6249203807592</v>
      </c>
      <c r="AV28" s="13">
        <f t="shared" si="24"/>
        <v>5091.7863980683396</v>
      </c>
      <c r="AW28" s="13">
        <f t="shared" si="24"/>
        <v>5135.8841199687304</v>
      </c>
      <c r="AX28" s="13">
        <f t="shared" si="24"/>
        <v>5178.0294198355004</v>
      </c>
      <c r="AY28" s="13">
        <f t="shared" ref="AY28" si="25">AY29+AY30</f>
        <v>5311.61200655229</v>
      </c>
    </row>
    <row r="29" spans="1:51" ht="14.1" customHeight="1">
      <c r="A29" s="2"/>
      <c r="B29" s="2"/>
      <c r="C29" s="2" t="s">
        <v>10</v>
      </c>
      <c r="D29" s="2"/>
      <c r="E29" s="22">
        <f t="shared" ref="E29:F29" si="26">E13+SUM(E17)+SUM(E21)+SUM(E25)</f>
        <v>1549.6086697923399</v>
      </c>
      <c r="F29" s="22">
        <f t="shared" si="26"/>
        <v>1566.2100107808797</v>
      </c>
      <c r="G29" s="22">
        <f t="shared" ref="G29:G30" si="27">G13+SUM(G17)+SUM(G21)+SUM(G25)</f>
        <v>1666.83734973387</v>
      </c>
      <c r="H29" s="22">
        <f>H13+H17+H21+H25</f>
        <v>1645.73747</v>
      </c>
      <c r="I29" s="22">
        <f t="shared" ref="I29:J30" si="28">I13+SUM(I17)+SUM(I21)+SUM(I25)</f>
        <v>1692.6491639999999</v>
      </c>
      <c r="J29" s="22">
        <f t="shared" si="28"/>
        <v>1697.2397719399901</v>
      </c>
      <c r="K29" s="22">
        <f t="shared" ref="K29:L30" si="29">K13+SUM(K17)+SUM(K21)+SUM(K25)</f>
        <v>1781.79589029884</v>
      </c>
      <c r="L29" s="22">
        <f t="shared" si="29"/>
        <v>1755.6954804996899</v>
      </c>
      <c r="M29" s="22">
        <f t="shared" ref="M29:AV30" si="30">M13+SUM(M17)+SUM(M21)+SUM(M25)</f>
        <v>1761.8658929164098</v>
      </c>
      <c r="N29" s="22">
        <f t="shared" si="30"/>
        <v>1701.3753695302303</v>
      </c>
      <c r="O29" s="22">
        <f t="shared" si="30"/>
        <v>1704.80145962604</v>
      </c>
      <c r="P29" s="22">
        <f t="shared" si="30"/>
        <v>1710.2480675735499</v>
      </c>
      <c r="Q29" s="22">
        <f t="shared" si="30"/>
        <v>1696.88524743466</v>
      </c>
      <c r="R29" s="22">
        <f t="shared" si="30"/>
        <v>1598.47799605818</v>
      </c>
      <c r="S29" s="22">
        <f t="shared" si="30"/>
        <v>1705.92986136683</v>
      </c>
      <c r="T29" s="22">
        <f t="shared" si="30"/>
        <v>1713.7954602011798</v>
      </c>
      <c r="U29" s="22">
        <f t="shared" si="30"/>
        <v>1706.2029117984098</v>
      </c>
      <c r="V29" s="22">
        <f t="shared" si="30"/>
        <v>1739.0611904155398</v>
      </c>
      <c r="W29" s="22">
        <f t="shared" si="30"/>
        <v>1796.5358715455302</v>
      </c>
      <c r="X29" s="22">
        <f t="shared" si="30"/>
        <v>1853.3562397462799</v>
      </c>
      <c r="Y29" s="22">
        <f t="shared" si="30"/>
        <v>1846.3049357005998</v>
      </c>
      <c r="Z29" s="22">
        <f t="shared" si="30"/>
        <v>1827.01259091869</v>
      </c>
      <c r="AA29" s="22">
        <f t="shared" si="30"/>
        <v>1863.01292432838</v>
      </c>
      <c r="AB29" s="22">
        <f t="shared" si="30"/>
        <v>1912.2499319753399</v>
      </c>
      <c r="AC29" s="22">
        <f t="shared" si="30"/>
        <v>1905.89755034169</v>
      </c>
      <c r="AD29" s="22">
        <f t="shared" si="30"/>
        <v>1985.6610132479798</v>
      </c>
      <c r="AE29" s="22">
        <f t="shared" si="30"/>
        <v>2122.84035284739</v>
      </c>
      <c r="AF29" s="22">
        <f t="shared" si="30"/>
        <v>2172.1423200300601</v>
      </c>
      <c r="AG29" s="22">
        <f t="shared" si="30"/>
        <v>2281.67359936093</v>
      </c>
      <c r="AH29" s="22">
        <f t="shared" si="30"/>
        <v>2365.11410413576</v>
      </c>
      <c r="AI29" s="22">
        <f t="shared" si="30"/>
        <v>2411.2899033644298</v>
      </c>
      <c r="AJ29" s="22">
        <f t="shared" si="30"/>
        <v>2413.8939472714601</v>
      </c>
      <c r="AK29" s="22">
        <f t="shared" si="30"/>
        <v>2556.68287762411</v>
      </c>
      <c r="AL29" s="22">
        <f t="shared" si="30"/>
        <v>2541.4370031023554</v>
      </c>
      <c r="AM29" s="22">
        <f t="shared" si="30"/>
        <v>2562.8802583553102</v>
      </c>
      <c r="AN29" s="22">
        <f t="shared" si="30"/>
        <v>2852.81392075862</v>
      </c>
      <c r="AO29" s="22">
        <f t="shared" si="30"/>
        <v>2806.67632128681</v>
      </c>
      <c r="AP29" s="22">
        <f t="shared" si="30"/>
        <v>2893.2453716627801</v>
      </c>
      <c r="AQ29" s="22">
        <f t="shared" si="30"/>
        <v>3078.2025607604801</v>
      </c>
      <c r="AR29" s="22">
        <f t="shared" si="30"/>
        <v>3136.0256450163702</v>
      </c>
      <c r="AS29" s="22">
        <f t="shared" si="30"/>
        <v>3083.6747009425699</v>
      </c>
      <c r="AT29" s="22">
        <f>AT13+SUM(AT17)+SUM(AT21)+SUM(AT25)</f>
        <v>3145.8980004716</v>
      </c>
      <c r="AU29" s="22">
        <f t="shared" si="30"/>
        <v>3188.3003503807595</v>
      </c>
      <c r="AV29" s="22">
        <f t="shared" si="30"/>
        <v>3255.2911280683402</v>
      </c>
      <c r="AW29" s="22">
        <f t="shared" ref="AW29:AX29" si="31">AW13+SUM(AW17)+SUM(AW21)+SUM(AW25)</f>
        <v>3280.0805199687302</v>
      </c>
      <c r="AX29" s="22">
        <f t="shared" si="31"/>
        <v>3281.6182198355</v>
      </c>
      <c r="AY29" s="22">
        <f t="shared" ref="AY29" si="32">AY13+SUM(AY17)+SUM(AY21)+SUM(AY25)</f>
        <v>3342.4858076396899</v>
      </c>
    </row>
    <row r="30" spans="1:51" ht="14.1" customHeight="1">
      <c r="A30" s="2"/>
      <c r="B30" s="2"/>
      <c r="C30" s="2" t="s">
        <v>11</v>
      </c>
      <c r="D30" s="25"/>
      <c r="E30" s="22">
        <f t="shared" ref="E30:F30" si="33">E14+SUM(E18)+SUM(E22)+SUM(E26)</f>
        <v>1757.5801300000001</v>
      </c>
      <c r="F30" s="22">
        <f t="shared" si="33"/>
        <v>1756.3210939999999</v>
      </c>
      <c r="G30" s="22">
        <f t="shared" si="27"/>
        <v>1818.1340400000001</v>
      </c>
      <c r="H30" s="22">
        <f>H14+H18+H22+H26</f>
        <v>1856.1208119999999</v>
      </c>
      <c r="I30" s="22">
        <f t="shared" si="28"/>
        <v>1850.4495650000001</v>
      </c>
      <c r="J30" s="22">
        <f t="shared" si="28"/>
        <v>1896.3153249999998</v>
      </c>
      <c r="K30" s="22">
        <f t="shared" si="29"/>
        <v>1913.1745130000002</v>
      </c>
      <c r="L30" s="22">
        <f t="shared" si="29"/>
        <v>1759.1000051999602</v>
      </c>
      <c r="M30" s="22">
        <f t="shared" si="30"/>
        <v>1805.7527375256602</v>
      </c>
      <c r="N30" s="22">
        <f t="shared" si="30"/>
        <v>1848.81771215546</v>
      </c>
      <c r="O30" s="22">
        <f t="shared" si="30"/>
        <v>1774.6170749272098</v>
      </c>
      <c r="P30" s="22">
        <f t="shared" si="30"/>
        <v>1701.1766225188101</v>
      </c>
      <c r="Q30" s="22">
        <f t="shared" si="30"/>
        <v>1756.9171426069702</v>
      </c>
      <c r="R30" s="22">
        <f t="shared" si="30"/>
        <v>1661.5382636211</v>
      </c>
      <c r="S30" s="22">
        <f t="shared" si="30"/>
        <v>1623.8675576517899</v>
      </c>
      <c r="T30" s="22">
        <f t="shared" si="30"/>
        <v>1509.5303073652599</v>
      </c>
      <c r="U30" s="22">
        <f t="shared" si="30"/>
        <v>1593.9690000072801</v>
      </c>
      <c r="V30" s="22">
        <f t="shared" si="30"/>
        <v>1659.4128614483702</v>
      </c>
      <c r="W30" s="22">
        <f t="shared" si="30"/>
        <v>1730.03985915459</v>
      </c>
      <c r="X30" s="22">
        <f t="shared" si="30"/>
        <v>1805.4362063288897</v>
      </c>
      <c r="Y30" s="22">
        <f t="shared" si="30"/>
        <v>1840.1342719278298</v>
      </c>
      <c r="Z30" s="22">
        <f t="shared" si="30"/>
        <v>1849.5365955315701</v>
      </c>
      <c r="AA30" s="22">
        <f t="shared" si="30"/>
        <v>1910.87940617049</v>
      </c>
      <c r="AB30" s="22">
        <f t="shared" si="30"/>
        <v>1923.9267586937399</v>
      </c>
      <c r="AC30" s="22">
        <f t="shared" si="30"/>
        <v>1922.3318873158698</v>
      </c>
      <c r="AD30" s="22">
        <f t="shared" si="30"/>
        <v>1987.6150737207402</v>
      </c>
      <c r="AE30" s="22">
        <f t="shared" si="30"/>
        <v>1966.4570519966901</v>
      </c>
      <c r="AF30" s="22">
        <f t="shared" si="30"/>
        <v>1942.29005115839</v>
      </c>
      <c r="AG30" s="22">
        <f t="shared" si="30"/>
        <v>2039.4540248552298</v>
      </c>
      <c r="AH30" s="22">
        <f t="shared" si="30"/>
        <v>2051.8071930116898</v>
      </c>
      <c r="AI30" s="22">
        <f t="shared" si="30"/>
        <v>2090.2586175178199</v>
      </c>
      <c r="AJ30" s="22">
        <f t="shared" si="30"/>
        <v>2019.3039918189302</v>
      </c>
      <c r="AK30" s="22">
        <f t="shared" si="30"/>
        <v>2073.9189999999999</v>
      </c>
      <c r="AL30" s="22">
        <f t="shared" si="30"/>
        <v>2050.547</v>
      </c>
      <c r="AM30" s="22">
        <f t="shared" si="30"/>
        <v>2028.193</v>
      </c>
      <c r="AN30" s="22">
        <f t="shared" si="30"/>
        <v>1892.729</v>
      </c>
      <c r="AO30" s="22">
        <f t="shared" si="30"/>
        <v>1803.0407</v>
      </c>
      <c r="AP30" s="22">
        <f t="shared" si="30"/>
        <v>1872.87547</v>
      </c>
      <c r="AQ30" s="22">
        <f t="shared" si="30"/>
        <v>1855.0070000000001</v>
      </c>
      <c r="AR30" s="22">
        <f t="shared" si="30"/>
        <v>1868.491</v>
      </c>
      <c r="AS30" s="22">
        <f t="shared" si="30"/>
        <v>1887.8208099999999</v>
      </c>
      <c r="AT30" s="22">
        <f t="shared" si="30"/>
        <v>1841.0917999999999</v>
      </c>
      <c r="AU30" s="22">
        <f t="shared" si="30"/>
        <v>1884.32457</v>
      </c>
      <c r="AV30" s="22">
        <f t="shared" si="30"/>
        <v>1836.4952699999999</v>
      </c>
      <c r="AW30" s="22">
        <f t="shared" ref="AW30:AX30" si="34">AW14+SUM(AW18)+SUM(AW22)+SUM(AW26)</f>
        <v>1855.8036000000002</v>
      </c>
      <c r="AX30" s="22">
        <f t="shared" si="34"/>
        <v>1896.4112</v>
      </c>
      <c r="AY30" s="22">
        <f t="shared" ref="AY30" si="35">AY14+SUM(AY18)+SUM(AY22)+SUM(AY26)</f>
        <v>1969.1261989126001</v>
      </c>
    </row>
    <row r="31" spans="1:51" ht="14.1" customHeight="1">
      <c r="A31" s="2"/>
      <c r="B31" s="2"/>
      <c r="C31" s="2"/>
      <c r="D31" s="2"/>
      <c r="E31" s="3"/>
      <c r="F31" s="3"/>
      <c r="G31" s="3"/>
      <c r="H31" s="3"/>
      <c r="I31" s="3"/>
      <c r="J31" s="3"/>
      <c r="K31" s="3"/>
      <c r="L31" s="3"/>
      <c r="M31" s="2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  <c r="AA31" s="3"/>
      <c r="AB31" s="2"/>
      <c r="AC31" s="2"/>
      <c r="AD31" s="2"/>
      <c r="AE31" s="2"/>
      <c r="AF31" s="2"/>
      <c r="AG31" s="2"/>
      <c r="AH31" s="2"/>
      <c r="AI31" s="2"/>
      <c r="AJ31" s="2"/>
      <c r="AK31" s="4"/>
      <c r="AL31" s="4"/>
      <c r="AM31" s="4"/>
      <c r="AN31" s="4"/>
      <c r="AO31" s="4"/>
      <c r="AP31" s="4"/>
      <c r="AQ31" s="4"/>
      <c r="AR31" s="4"/>
      <c r="AS31" s="4"/>
    </row>
    <row r="32" spans="1:51" ht="14.1" customHeight="1">
      <c r="A32" s="23" t="s">
        <v>24</v>
      </c>
      <c r="B32" s="46" t="s">
        <v>25</v>
      </c>
      <c r="C32" s="24"/>
      <c r="D32" s="24"/>
      <c r="E32" s="25">
        <f t="shared" ref="E32:Y32" si="36">E33+E34+E35</f>
        <v>129.64000000000001</v>
      </c>
      <c r="F32" s="25">
        <f t="shared" si="36"/>
        <v>133.44</v>
      </c>
      <c r="G32" s="25">
        <f t="shared" si="36"/>
        <v>133.22</v>
      </c>
      <c r="H32" s="25">
        <f t="shared" si="36"/>
        <v>132.38999999999999</v>
      </c>
      <c r="I32" s="25">
        <f t="shared" si="36"/>
        <v>137.6</v>
      </c>
      <c r="J32" s="25">
        <f t="shared" si="36"/>
        <v>134.73999999999998</v>
      </c>
      <c r="K32" s="25">
        <f t="shared" si="36"/>
        <v>146.85000000000002</v>
      </c>
      <c r="L32" s="25">
        <f t="shared" si="36"/>
        <v>155.34</v>
      </c>
      <c r="M32" s="25">
        <f t="shared" si="36"/>
        <v>165.45000000000002</v>
      </c>
      <c r="N32" s="25">
        <f t="shared" si="36"/>
        <v>163.81</v>
      </c>
      <c r="O32" s="25">
        <f t="shared" si="36"/>
        <v>171.33</v>
      </c>
      <c r="P32" s="25">
        <f t="shared" si="36"/>
        <v>181.40141934775997</v>
      </c>
      <c r="Q32" s="25">
        <f t="shared" si="36"/>
        <v>179.52822355013001</v>
      </c>
      <c r="R32" s="26">
        <f>R33+R34+R35</f>
        <v>170.29999999999998</v>
      </c>
      <c r="S32" s="47">
        <f>S33+S34+S35</f>
        <v>185.08470098134998</v>
      </c>
      <c r="T32" s="25">
        <f t="shared" si="36"/>
        <v>179.08249462277999</v>
      </c>
      <c r="U32" s="25">
        <f t="shared" si="36"/>
        <v>203.58249462277999</v>
      </c>
      <c r="V32" s="25">
        <f t="shared" si="36"/>
        <v>217.94249462277998</v>
      </c>
      <c r="W32" s="25">
        <f t="shared" si="36"/>
        <v>221.50996729849001</v>
      </c>
      <c r="X32" s="25">
        <f t="shared" si="36"/>
        <v>252.29117320348999</v>
      </c>
      <c r="Y32" s="25">
        <f t="shared" si="36"/>
        <v>249.33117320348998</v>
      </c>
      <c r="Z32" s="26">
        <f>Z33+Z34+Z35</f>
        <v>235.07549532676001</v>
      </c>
      <c r="AA32" s="26">
        <f>AA33+AA34+AA35</f>
        <v>253.12540663367</v>
      </c>
      <c r="AB32" s="27">
        <f>AB33+AB34+AB35</f>
        <v>280.46914224739004</v>
      </c>
      <c r="AC32" s="28">
        <f>AC33+AC34+AC35</f>
        <v>307.23540663366998</v>
      </c>
      <c r="AD32" s="26">
        <f>AD33+AD34+AD35</f>
        <v>317.93618387407003</v>
      </c>
      <c r="AE32" s="26">
        <f>AE33+AE34</f>
        <v>313.07</v>
      </c>
      <c r="AF32" s="26">
        <f>AF33+AF34+AF35</f>
        <v>315.06720670884999</v>
      </c>
      <c r="AG32" s="28">
        <f>AG33+AG34+AG35</f>
        <v>340.36720670885001</v>
      </c>
      <c r="AH32" s="26">
        <f>AH33+AH34+AH35</f>
        <v>383.94765898669999</v>
      </c>
      <c r="AI32" s="26">
        <f>AI33+AI34+AI35</f>
        <v>405.73765898670001</v>
      </c>
      <c r="AJ32" s="26">
        <f>AJ33+AJ34+AJ35</f>
        <v>412.83503483407998</v>
      </c>
      <c r="AK32" s="28">
        <f t="shared" ref="AK32" si="37">AK33+AK34+AK35</f>
        <v>432.35503483408002</v>
      </c>
      <c r="AL32" s="26">
        <f>AL33+AL34+AL35</f>
        <v>438.73503483408001</v>
      </c>
      <c r="AM32" s="26">
        <f>AM33+AM34+AM35</f>
        <v>438.79503483408001</v>
      </c>
      <c r="AN32" s="29">
        <f>AN33+AN34+AN35</f>
        <v>456.86503483408001</v>
      </c>
      <c r="AO32" s="48">
        <f t="shared" ref="AO32" si="38">AO33+AO34+AO35</f>
        <v>454.15</v>
      </c>
      <c r="AP32" s="29">
        <f>AP33+AP34+AP35</f>
        <v>454.09845844572999</v>
      </c>
      <c r="AQ32" s="48">
        <f t="shared" ref="AQ32" si="39">AQ33+AQ34+AQ35</f>
        <v>464.86845844573003</v>
      </c>
      <c r="AR32" s="29">
        <f>AR33+AR34+AR35</f>
        <v>474.65000000000003</v>
      </c>
      <c r="AS32" s="48">
        <f t="shared" ref="AS32" si="40">AS33+AS34+AS35</f>
        <v>481.1</v>
      </c>
      <c r="AT32" s="30">
        <f>AT33+AT34+AT35</f>
        <v>485.82</v>
      </c>
      <c r="AU32" s="30">
        <f>AU33+AU34+AU35</f>
        <v>487.11999999999995</v>
      </c>
      <c r="AV32" s="30">
        <f>AV33+AV34+AV35</f>
        <v>489.24</v>
      </c>
      <c r="AW32" s="30">
        <f t="shared" ref="AW32:AY32" si="41">AW33+AW34+AW35</f>
        <v>485.68</v>
      </c>
      <c r="AX32" s="30">
        <f t="shared" si="41"/>
        <v>490.43</v>
      </c>
      <c r="AY32" s="30">
        <f t="shared" si="41"/>
        <v>493.02</v>
      </c>
    </row>
    <row r="33" spans="1:56" ht="14.1" customHeight="1">
      <c r="A33" s="2"/>
      <c r="B33" s="2"/>
      <c r="C33" s="2" t="s">
        <v>26</v>
      </c>
      <c r="D33" s="2"/>
      <c r="E33" s="3">
        <v>128.61000000000001</v>
      </c>
      <c r="F33" s="3">
        <v>132.13</v>
      </c>
      <c r="G33" s="3">
        <v>131.94999999999999</v>
      </c>
      <c r="H33" s="3">
        <v>131.47</v>
      </c>
      <c r="I33" s="3">
        <v>136.01</v>
      </c>
      <c r="J33" s="3">
        <v>133.29</v>
      </c>
      <c r="K33" s="3">
        <v>145.24</v>
      </c>
      <c r="L33" s="3">
        <v>153.94</v>
      </c>
      <c r="M33" s="3">
        <v>164.05</v>
      </c>
      <c r="N33" s="3">
        <v>162.31</v>
      </c>
      <c r="O33" s="3">
        <v>170.06</v>
      </c>
      <c r="P33" s="3">
        <v>175.98</v>
      </c>
      <c r="Q33" s="3">
        <v>174.36</v>
      </c>
      <c r="R33" s="3">
        <v>169.88</v>
      </c>
      <c r="S33" s="19">
        <v>180.38</v>
      </c>
      <c r="T33" s="19">
        <v>175.99</v>
      </c>
      <c r="U33" s="3">
        <v>200.79</v>
      </c>
      <c r="V33" s="3">
        <v>215.2</v>
      </c>
      <c r="W33" s="3">
        <v>218.68</v>
      </c>
      <c r="X33" s="19">
        <v>248.56</v>
      </c>
      <c r="Y33" s="3">
        <v>245.6</v>
      </c>
      <c r="Z33" s="3">
        <v>231.65</v>
      </c>
      <c r="AA33" s="3">
        <v>249.88</v>
      </c>
      <c r="AB33" s="19">
        <v>277.17</v>
      </c>
      <c r="AC33" s="3">
        <v>303.99</v>
      </c>
      <c r="AD33" s="3">
        <v>314.74</v>
      </c>
      <c r="AE33" s="3">
        <v>313.07</v>
      </c>
      <c r="AF33" s="3">
        <v>311.81</v>
      </c>
      <c r="AG33" s="3">
        <v>337.11</v>
      </c>
      <c r="AH33" s="3">
        <v>383.69</v>
      </c>
      <c r="AI33" s="3">
        <v>405.48</v>
      </c>
      <c r="AJ33" s="3">
        <v>409.64</v>
      </c>
      <c r="AK33" s="3">
        <v>429.17</v>
      </c>
      <c r="AL33" s="3">
        <v>435.55</v>
      </c>
      <c r="AM33" s="3">
        <v>435.61</v>
      </c>
      <c r="AN33" s="3">
        <v>453.68</v>
      </c>
      <c r="AO33" s="3">
        <v>454.03</v>
      </c>
      <c r="AP33" s="20">
        <v>453.77</v>
      </c>
      <c r="AQ33" s="20">
        <v>464.55</v>
      </c>
      <c r="AR33" s="3">
        <v>474.55</v>
      </c>
      <c r="AS33" s="3">
        <v>481</v>
      </c>
      <c r="AT33" s="21">
        <v>485.73</v>
      </c>
      <c r="AU33" s="21">
        <v>487.03</v>
      </c>
      <c r="AV33" s="21">
        <v>489.16</v>
      </c>
      <c r="AW33" s="21">
        <v>485.61</v>
      </c>
      <c r="AX33" s="21">
        <v>490.36</v>
      </c>
      <c r="AY33" s="21">
        <v>492.96</v>
      </c>
    </row>
    <row r="34" spans="1:56" ht="14.1" customHeight="1">
      <c r="A34" s="2"/>
      <c r="B34" s="2"/>
      <c r="C34" s="2" t="s">
        <v>27</v>
      </c>
      <c r="D34" s="2"/>
      <c r="E34" s="3">
        <v>1.03</v>
      </c>
      <c r="F34" s="3">
        <v>1.31</v>
      </c>
      <c r="G34" s="3">
        <v>1.27</v>
      </c>
      <c r="H34" s="3">
        <v>0.92</v>
      </c>
      <c r="I34" s="3">
        <v>1.59</v>
      </c>
      <c r="J34" s="3">
        <v>1.45</v>
      </c>
      <c r="K34" s="3">
        <v>1.61</v>
      </c>
      <c r="L34" s="3">
        <v>1.4</v>
      </c>
      <c r="M34" s="3">
        <v>1.4</v>
      </c>
      <c r="N34" s="3">
        <v>1.5</v>
      </c>
      <c r="O34" s="3">
        <v>1.27</v>
      </c>
      <c r="P34" s="3">
        <v>0.76</v>
      </c>
      <c r="Q34" s="3">
        <v>0.22</v>
      </c>
      <c r="R34" s="3">
        <v>0.42</v>
      </c>
      <c r="S34" s="19">
        <v>0.48</v>
      </c>
      <c r="T34" s="19">
        <v>0.35</v>
      </c>
      <c r="U34" s="3">
        <v>0.05</v>
      </c>
      <c r="V34" s="3">
        <v>0</v>
      </c>
      <c r="W34" s="3">
        <v>0</v>
      </c>
      <c r="X34" s="19">
        <v>0</v>
      </c>
      <c r="Y34" s="3">
        <v>0</v>
      </c>
      <c r="Z34" s="3">
        <v>0</v>
      </c>
      <c r="AA34" s="3">
        <v>0</v>
      </c>
      <c r="AB34" s="19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0.15</v>
      </c>
      <c r="AK34" s="3">
        <v>0.14000000000000001</v>
      </c>
      <c r="AL34" s="3">
        <v>0.14000000000000001</v>
      </c>
      <c r="AM34" s="3">
        <v>0.14000000000000001</v>
      </c>
      <c r="AN34" s="3">
        <v>0.14000000000000001</v>
      </c>
      <c r="AO34" s="3">
        <v>0.12</v>
      </c>
      <c r="AP34" s="20">
        <v>0.12</v>
      </c>
      <c r="AQ34" s="20">
        <v>0.11</v>
      </c>
      <c r="AR34" s="3">
        <v>0.1</v>
      </c>
      <c r="AS34" s="3">
        <v>0.1</v>
      </c>
      <c r="AT34" s="21">
        <v>0.09</v>
      </c>
      <c r="AU34" s="21">
        <v>0.09</v>
      </c>
      <c r="AV34" s="21">
        <v>0.08</v>
      </c>
      <c r="AW34" s="21">
        <v>7.0000000000000007E-2</v>
      </c>
      <c r="AX34" s="21">
        <v>7.0000000000000007E-2</v>
      </c>
      <c r="AY34" s="21">
        <v>0.06</v>
      </c>
    </row>
    <row r="35" spans="1:56" ht="14.1" customHeight="1">
      <c r="A35" s="2"/>
      <c r="B35" s="2"/>
      <c r="C35" s="2" t="s">
        <v>28</v>
      </c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>
        <v>4.6614193477599999</v>
      </c>
      <c r="Q35" s="3">
        <v>4.9482235501299998</v>
      </c>
      <c r="R35" s="2">
        <v>0</v>
      </c>
      <c r="S35" s="19">
        <v>4.2247009813499998</v>
      </c>
      <c r="T35" s="19">
        <v>2.7424946227799998</v>
      </c>
      <c r="U35" s="19">
        <v>2.7424946227799998</v>
      </c>
      <c r="V35" s="19">
        <v>2.7424946227799998</v>
      </c>
      <c r="W35" s="49">
        <v>2.8299672984900002</v>
      </c>
      <c r="X35" s="19">
        <v>3.73117320349</v>
      </c>
      <c r="Y35" s="3">
        <v>3.73117320349</v>
      </c>
      <c r="Z35" s="3">
        <v>3.4254953267600001</v>
      </c>
      <c r="AA35" s="49">
        <v>3.24540663367</v>
      </c>
      <c r="AB35" s="19">
        <v>3.2991422473899998</v>
      </c>
      <c r="AC35" s="3">
        <v>3.24540663367</v>
      </c>
      <c r="AD35" s="3">
        <v>3.1961838740699999</v>
      </c>
      <c r="AE35" s="49">
        <v>3.2572067088500001</v>
      </c>
      <c r="AF35" s="49">
        <v>3.2572067088500001</v>
      </c>
      <c r="AG35" s="3">
        <v>3.2572067088500001</v>
      </c>
      <c r="AH35" s="3">
        <v>0.25765898669999998</v>
      </c>
      <c r="AI35" s="49">
        <v>0.25765898669999998</v>
      </c>
      <c r="AJ35" s="49">
        <v>3.04503483408</v>
      </c>
      <c r="AK35" s="3">
        <v>3.04503483408</v>
      </c>
      <c r="AL35" s="3">
        <v>3.04503483408</v>
      </c>
      <c r="AM35" s="49">
        <v>3.04503483408</v>
      </c>
      <c r="AN35" s="49">
        <v>3.04503483408</v>
      </c>
      <c r="AO35" s="3">
        <v>0</v>
      </c>
      <c r="AP35" s="20">
        <v>0.20845844573</v>
      </c>
      <c r="AQ35" s="20">
        <v>0.20845844573</v>
      </c>
      <c r="AR35" s="49">
        <v>0</v>
      </c>
      <c r="AS35" s="3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</row>
    <row r="36" spans="1:56" ht="14.1" customHeight="1">
      <c r="A36" s="50"/>
      <c r="B36" s="50"/>
      <c r="C36" s="50"/>
      <c r="D36" s="50"/>
      <c r="E36" s="51"/>
      <c r="F36" s="51"/>
      <c r="G36" s="51"/>
      <c r="H36" s="52"/>
      <c r="I36" s="52"/>
      <c r="J36" s="52"/>
      <c r="K36" s="52"/>
      <c r="L36" s="52"/>
      <c r="M36" s="50"/>
      <c r="N36" s="50"/>
      <c r="O36" s="50"/>
      <c r="P36" s="50"/>
      <c r="Q36" s="50"/>
      <c r="R36" s="50"/>
      <c r="S36" s="50"/>
      <c r="T36" s="50"/>
      <c r="U36" s="52"/>
      <c r="V36" s="52"/>
      <c r="W36" s="52"/>
      <c r="X36" s="52"/>
      <c r="Y36" s="52"/>
      <c r="Z36" s="52"/>
      <c r="AA36" s="52"/>
      <c r="AB36" s="50"/>
      <c r="AC36" s="50"/>
      <c r="AD36" s="50"/>
      <c r="AE36" s="50"/>
      <c r="AF36" s="50"/>
      <c r="AG36" s="50"/>
      <c r="AH36" s="50"/>
      <c r="AI36" s="50"/>
      <c r="AJ36" s="50"/>
      <c r="AK36" s="4"/>
      <c r="AL36" s="4"/>
      <c r="AM36" s="4"/>
      <c r="AN36" s="4"/>
      <c r="AO36" s="4"/>
      <c r="AP36" s="4"/>
      <c r="AQ36" s="4"/>
      <c r="AR36" s="4"/>
      <c r="AS36" s="4"/>
    </row>
    <row r="37" spans="1:56" ht="14.1" customHeight="1">
      <c r="A37" s="53" t="s">
        <v>29</v>
      </c>
      <c r="B37" s="54" t="s">
        <v>30</v>
      </c>
      <c r="C37" s="54"/>
      <c r="D37" s="54"/>
      <c r="E37" s="55">
        <f t="shared" ref="E37:AV37" si="42">E38+E39</f>
        <v>3177.5487997923401</v>
      </c>
      <c r="F37" s="55">
        <f t="shared" si="42"/>
        <v>3189.0911047808795</v>
      </c>
      <c r="G37" s="55">
        <f t="shared" si="42"/>
        <v>3351.7513897338704</v>
      </c>
      <c r="H37" s="55">
        <f t="shared" si="42"/>
        <v>3369.4682819999998</v>
      </c>
      <c r="I37" s="55">
        <f t="shared" si="42"/>
        <v>3405.4987289999999</v>
      </c>
      <c r="J37" s="55">
        <f t="shared" si="42"/>
        <v>3458.8150969399899</v>
      </c>
      <c r="K37" s="55">
        <f t="shared" si="42"/>
        <v>3548.1204032988403</v>
      </c>
      <c r="L37" s="55">
        <f t="shared" si="42"/>
        <v>3359.4554856996501</v>
      </c>
      <c r="M37" s="55">
        <f t="shared" si="42"/>
        <v>3402.16863044207</v>
      </c>
      <c r="N37" s="55">
        <f t="shared" si="42"/>
        <v>3386.3830816856903</v>
      </c>
      <c r="O37" s="55">
        <f t="shared" si="42"/>
        <v>3308.0885345532497</v>
      </c>
      <c r="P37" s="55">
        <f t="shared" si="42"/>
        <v>3230.0232707445998</v>
      </c>
      <c r="Q37" s="55">
        <f t="shared" si="42"/>
        <v>3274.2741664915002</v>
      </c>
      <c r="R37" s="55">
        <f t="shared" si="42"/>
        <v>3089.7162596792796</v>
      </c>
      <c r="S37" s="55">
        <f t="shared" si="42"/>
        <v>3144.71271803727</v>
      </c>
      <c r="T37" s="55">
        <f t="shared" si="42"/>
        <v>3044.2432729436596</v>
      </c>
      <c r="U37" s="55">
        <f t="shared" si="42"/>
        <v>3096.58941718291</v>
      </c>
      <c r="V37" s="55">
        <f t="shared" si="42"/>
        <v>3180.53155724113</v>
      </c>
      <c r="W37" s="55">
        <f t="shared" si="42"/>
        <v>3305.0657634016302</v>
      </c>
      <c r="X37" s="55">
        <f t="shared" si="42"/>
        <v>3406.5012728716797</v>
      </c>
      <c r="Y37" s="55">
        <f t="shared" si="42"/>
        <v>3437.1080344249394</v>
      </c>
      <c r="Z37" s="55">
        <f t="shared" si="42"/>
        <v>3441.4736911235</v>
      </c>
      <c r="AA37" s="55">
        <f t="shared" si="42"/>
        <v>3520.7669238651997</v>
      </c>
      <c r="AB37" s="55">
        <f t="shared" si="42"/>
        <v>3555.7075484216898</v>
      </c>
      <c r="AC37" s="55">
        <f t="shared" si="42"/>
        <v>3520.9940310238899</v>
      </c>
      <c r="AD37" s="55">
        <f t="shared" si="42"/>
        <v>3655.3399030946503</v>
      </c>
      <c r="AE37" s="55">
        <f t="shared" si="42"/>
        <v>3772.97019813523</v>
      </c>
      <c r="AF37" s="55">
        <f t="shared" si="42"/>
        <v>3799.3651644796</v>
      </c>
      <c r="AG37" s="55">
        <f t="shared" si="42"/>
        <v>3980.7604175073097</v>
      </c>
      <c r="AH37" s="55">
        <f t="shared" si="42"/>
        <v>4032.9736381607499</v>
      </c>
      <c r="AI37" s="55">
        <f t="shared" si="42"/>
        <v>4095.8108618955494</v>
      </c>
      <c r="AJ37" s="55">
        <f t="shared" si="42"/>
        <v>4020.3629042563102</v>
      </c>
      <c r="AK37" s="55">
        <f t="shared" si="42"/>
        <v>4198.2468427900294</v>
      </c>
      <c r="AL37" s="55">
        <f t="shared" si="42"/>
        <v>4153.2489682682753</v>
      </c>
      <c r="AM37" s="55">
        <f t="shared" si="42"/>
        <v>4152.2782235212298</v>
      </c>
      <c r="AN37" s="55">
        <f t="shared" si="42"/>
        <v>4288.6778859245405</v>
      </c>
      <c r="AO37" s="55">
        <f t="shared" si="42"/>
        <v>4155.5670212868099</v>
      </c>
      <c r="AP37" s="55">
        <f t="shared" si="42"/>
        <v>4312.0223832170504</v>
      </c>
      <c r="AQ37" s="55">
        <f t="shared" si="42"/>
        <v>4468.3411023147501</v>
      </c>
      <c r="AR37" s="55">
        <f t="shared" si="42"/>
        <v>4529.8666450163701</v>
      </c>
      <c r="AS37" s="55">
        <f t="shared" si="42"/>
        <v>4490.3955109425697</v>
      </c>
      <c r="AT37" s="55">
        <f t="shared" si="42"/>
        <v>4501.1698004716</v>
      </c>
      <c r="AU37" s="55">
        <f t="shared" si="42"/>
        <v>4585.5049203807594</v>
      </c>
      <c r="AV37" s="55">
        <f t="shared" si="42"/>
        <v>4602.5463980683398</v>
      </c>
      <c r="AW37" s="55">
        <f t="shared" ref="AW37:AX37" si="43">AW38+AW39</f>
        <v>4650.2041199687301</v>
      </c>
      <c r="AX37" s="55">
        <f t="shared" si="43"/>
        <v>4687.5994198355002</v>
      </c>
      <c r="AY37" s="55">
        <f t="shared" ref="AY37" si="44">AY38+AY39</f>
        <v>4818.5920065522896</v>
      </c>
    </row>
    <row r="38" spans="1:56" ht="14.1" customHeight="1">
      <c r="A38" s="2"/>
      <c r="B38" s="2"/>
      <c r="C38" s="1" t="s">
        <v>10</v>
      </c>
      <c r="D38" s="1"/>
      <c r="E38" s="56">
        <f t="shared" ref="E38:AV38" si="45">E29-E33-E34-E35</f>
        <v>1419.9686697923401</v>
      </c>
      <c r="F38" s="56">
        <f t="shared" si="45"/>
        <v>1432.7700107808796</v>
      </c>
      <c r="G38" s="56">
        <f t="shared" si="45"/>
        <v>1533.61734973387</v>
      </c>
      <c r="H38" s="56">
        <f>H29-H32</f>
        <v>1513.3474700000002</v>
      </c>
      <c r="I38" s="56">
        <f t="shared" si="45"/>
        <v>1555.049164</v>
      </c>
      <c r="J38" s="56">
        <f t="shared" si="45"/>
        <v>1562.4997719399901</v>
      </c>
      <c r="K38" s="56">
        <f t="shared" si="45"/>
        <v>1634.9458902988401</v>
      </c>
      <c r="L38" s="56">
        <f t="shared" si="45"/>
        <v>1600.3554804996897</v>
      </c>
      <c r="M38" s="56">
        <f t="shared" si="45"/>
        <v>1596.4158929164098</v>
      </c>
      <c r="N38" s="56">
        <f t="shared" si="45"/>
        <v>1537.5653695302303</v>
      </c>
      <c r="O38" s="56">
        <f t="shared" si="45"/>
        <v>1533.4714596260401</v>
      </c>
      <c r="P38" s="56">
        <f t="shared" si="45"/>
        <v>1528.8466482257897</v>
      </c>
      <c r="Q38" s="56">
        <f t="shared" si="45"/>
        <v>1517.3570238845298</v>
      </c>
      <c r="R38" s="56">
        <f t="shared" si="45"/>
        <v>1428.1779960581798</v>
      </c>
      <c r="S38" s="56">
        <f t="shared" si="45"/>
        <v>1520.8451603854801</v>
      </c>
      <c r="T38" s="56">
        <f t="shared" si="45"/>
        <v>1534.7129655783999</v>
      </c>
      <c r="U38" s="56">
        <f t="shared" si="45"/>
        <v>1502.6204171756299</v>
      </c>
      <c r="V38" s="56">
        <f t="shared" si="45"/>
        <v>1521.1186957927598</v>
      </c>
      <c r="W38" s="56">
        <f t="shared" si="45"/>
        <v>1575.0259042470402</v>
      </c>
      <c r="X38" s="56">
        <f t="shared" si="45"/>
        <v>1601.06506654279</v>
      </c>
      <c r="Y38" s="56">
        <f t="shared" si="45"/>
        <v>1596.9737624971099</v>
      </c>
      <c r="Z38" s="56">
        <f t="shared" si="45"/>
        <v>1591.9370955919298</v>
      </c>
      <c r="AA38" s="56">
        <f t="shared" si="45"/>
        <v>1609.8875176947099</v>
      </c>
      <c r="AB38" s="56">
        <f t="shared" si="45"/>
        <v>1631.7807897279499</v>
      </c>
      <c r="AC38" s="56">
        <f t="shared" si="45"/>
        <v>1598.66214370802</v>
      </c>
      <c r="AD38" s="56">
        <f t="shared" si="45"/>
        <v>1667.7248293739099</v>
      </c>
      <c r="AE38" s="56">
        <f t="shared" si="45"/>
        <v>1806.5131461385402</v>
      </c>
      <c r="AF38" s="56">
        <f t="shared" si="45"/>
        <v>1857.0751133212102</v>
      </c>
      <c r="AG38" s="56">
        <f t="shared" si="45"/>
        <v>1941.3063926520799</v>
      </c>
      <c r="AH38" s="56">
        <f t="shared" si="45"/>
        <v>1981.1664451490599</v>
      </c>
      <c r="AI38" s="56">
        <f t="shared" si="45"/>
        <v>2005.5522443777297</v>
      </c>
      <c r="AJ38" s="56">
        <f t="shared" si="45"/>
        <v>2001.0589124373801</v>
      </c>
      <c r="AK38" s="56">
        <f t="shared" si="45"/>
        <v>2124.32784279003</v>
      </c>
      <c r="AL38" s="56">
        <f t="shared" si="45"/>
        <v>2102.7019682682753</v>
      </c>
      <c r="AM38" s="56">
        <f t="shared" si="45"/>
        <v>2124.0852235212301</v>
      </c>
      <c r="AN38" s="56">
        <f t="shared" si="45"/>
        <v>2395.9488859245403</v>
      </c>
      <c r="AO38" s="56">
        <f t="shared" si="45"/>
        <v>2352.5263212868103</v>
      </c>
      <c r="AP38" s="56">
        <f t="shared" si="45"/>
        <v>2439.1469132170505</v>
      </c>
      <c r="AQ38" s="56">
        <f t="shared" si="45"/>
        <v>2613.33410231475</v>
      </c>
      <c r="AR38" s="56">
        <f t="shared" si="45"/>
        <v>2661.3756450163701</v>
      </c>
      <c r="AS38" s="56">
        <f t="shared" si="45"/>
        <v>2602.57470094257</v>
      </c>
      <c r="AT38" s="56">
        <f t="shared" si="45"/>
        <v>2660.0780004715998</v>
      </c>
      <c r="AU38" s="56">
        <f t="shared" si="45"/>
        <v>2701.1803503807596</v>
      </c>
      <c r="AV38" s="56">
        <f t="shared" si="45"/>
        <v>2766.0511280683404</v>
      </c>
      <c r="AW38" s="56">
        <f t="shared" ref="AW38:AX38" si="46">AW29-AW33-AW34-AW35</f>
        <v>2794.4005199687299</v>
      </c>
      <c r="AX38" s="56">
        <f t="shared" si="46"/>
        <v>2791.1882198354997</v>
      </c>
      <c r="AY38" s="56">
        <f t="shared" ref="AY38" si="47">AY29-AY33-AY34-AY35</f>
        <v>2849.46580763969</v>
      </c>
    </row>
    <row r="39" spans="1:56" ht="14.1" customHeight="1">
      <c r="A39" s="50"/>
      <c r="B39" s="50"/>
      <c r="C39" s="9" t="s">
        <v>11</v>
      </c>
      <c r="D39" s="9"/>
      <c r="E39" s="57">
        <f t="shared" ref="E39:AV39" si="48">E30</f>
        <v>1757.5801300000001</v>
      </c>
      <c r="F39" s="57">
        <f t="shared" si="48"/>
        <v>1756.3210939999999</v>
      </c>
      <c r="G39" s="57">
        <f t="shared" si="48"/>
        <v>1818.1340400000001</v>
      </c>
      <c r="H39" s="57">
        <f t="shared" si="48"/>
        <v>1856.1208119999999</v>
      </c>
      <c r="I39" s="57">
        <f t="shared" si="48"/>
        <v>1850.4495650000001</v>
      </c>
      <c r="J39" s="57">
        <f t="shared" si="48"/>
        <v>1896.3153249999998</v>
      </c>
      <c r="K39" s="57">
        <f t="shared" si="48"/>
        <v>1913.1745130000002</v>
      </c>
      <c r="L39" s="57">
        <f t="shared" si="48"/>
        <v>1759.1000051999602</v>
      </c>
      <c r="M39" s="57">
        <f t="shared" si="48"/>
        <v>1805.7527375256602</v>
      </c>
      <c r="N39" s="57">
        <f t="shared" si="48"/>
        <v>1848.81771215546</v>
      </c>
      <c r="O39" s="57">
        <f t="shared" si="48"/>
        <v>1774.6170749272098</v>
      </c>
      <c r="P39" s="57">
        <f t="shared" si="48"/>
        <v>1701.1766225188101</v>
      </c>
      <c r="Q39" s="57">
        <f t="shared" si="48"/>
        <v>1756.9171426069702</v>
      </c>
      <c r="R39" s="57">
        <f t="shared" si="48"/>
        <v>1661.5382636211</v>
      </c>
      <c r="S39" s="57">
        <f t="shared" si="48"/>
        <v>1623.8675576517899</v>
      </c>
      <c r="T39" s="57">
        <f t="shared" si="48"/>
        <v>1509.5303073652599</v>
      </c>
      <c r="U39" s="57">
        <f t="shared" si="48"/>
        <v>1593.9690000072801</v>
      </c>
      <c r="V39" s="57">
        <f t="shared" si="48"/>
        <v>1659.4128614483702</v>
      </c>
      <c r="W39" s="57">
        <f t="shared" si="48"/>
        <v>1730.03985915459</v>
      </c>
      <c r="X39" s="57">
        <f t="shared" si="48"/>
        <v>1805.4362063288897</v>
      </c>
      <c r="Y39" s="57">
        <f t="shared" si="48"/>
        <v>1840.1342719278298</v>
      </c>
      <c r="Z39" s="57">
        <f t="shared" si="48"/>
        <v>1849.5365955315701</v>
      </c>
      <c r="AA39" s="57">
        <f t="shared" si="48"/>
        <v>1910.87940617049</v>
      </c>
      <c r="AB39" s="57">
        <f t="shared" si="48"/>
        <v>1923.9267586937399</v>
      </c>
      <c r="AC39" s="57">
        <f t="shared" si="48"/>
        <v>1922.3318873158698</v>
      </c>
      <c r="AD39" s="57">
        <f t="shared" si="48"/>
        <v>1987.6150737207402</v>
      </c>
      <c r="AE39" s="57">
        <f t="shared" si="48"/>
        <v>1966.4570519966901</v>
      </c>
      <c r="AF39" s="57">
        <f t="shared" si="48"/>
        <v>1942.29005115839</v>
      </c>
      <c r="AG39" s="57">
        <f t="shared" si="48"/>
        <v>2039.4540248552298</v>
      </c>
      <c r="AH39" s="57">
        <f t="shared" si="48"/>
        <v>2051.8071930116898</v>
      </c>
      <c r="AI39" s="57">
        <f t="shared" si="48"/>
        <v>2090.2586175178199</v>
      </c>
      <c r="AJ39" s="57">
        <f t="shared" si="48"/>
        <v>2019.3039918189302</v>
      </c>
      <c r="AK39" s="57">
        <f t="shared" si="48"/>
        <v>2073.9189999999999</v>
      </c>
      <c r="AL39" s="57">
        <f t="shared" si="48"/>
        <v>2050.547</v>
      </c>
      <c r="AM39" s="57">
        <f t="shared" si="48"/>
        <v>2028.193</v>
      </c>
      <c r="AN39" s="57">
        <f t="shared" si="48"/>
        <v>1892.729</v>
      </c>
      <c r="AO39" s="57">
        <f t="shared" si="48"/>
        <v>1803.0407</v>
      </c>
      <c r="AP39" s="57">
        <f t="shared" si="48"/>
        <v>1872.87547</v>
      </c>
      <c r="AQ39" s="57">
        <f t="shared" si="48"/>
        <v>1855.0070000000001</v>
      </c>
      <c r="AR39" s="57">
        <f t="shared" si="48"/>
        <v>1868.491</v>
      </c>
      <c r="AS39" s="57">
        <f t="shared" si="48"/>
        <v>1887.8208099999999</v>
      </c>
      <c r="AT39" s="57">
        <f t="shared" si="48"/>
        <v>1841.0917999999999</v>
      </c>
      <c r="AU39" s="57">
        <f t="shared" si="48"/>
        <v>1884.32457</v>
      </c>
      <c r="AV39" s="57">
        <f t="shared" si="48"/>
        <v>1836.4952699999999</v>
      </c>
      <c r="AW39" s="57">
        <f t="shared" ref="AW39:AX39" si="49">AW30</f>
        <v>1855.8036000000002</v>
      </c>
      <c r="AX39" s="57">
        <f t="shared" si="49"/>
        <v>1896.4112</v>
      </c>
      <c r="AY39" s="57">
        <f t="shared" ref="AY39" si="50">AY30</f>
        <v>1969.1261989126001</v>
      </c>
    </row>
    <row r="40" spans="1:56" ht="14.1" customHeight="1">
      <c r="A40" s="59" t="s">
        <v>31</v>
      </c>
      <c r="B40" s="60" t="s">
        <v>32</v>
      </c>
      <c r="C40" s="60"/>
      <c r="D40" s="60"/>
      <c r="E40" s="61">
        <v>4667.75</v>
      </c>
      <c r="F40" s="61">
        <v>4810.6080000000002</v>
      </c>
      <c r="G40" s="61">
        <v>4954.3029999999999</v>
      </c>
      <c r="H40" s="61">
        <v>5120.4350000000004</v>
      </c>
      <c r="I40" s="61">
        <v>5241.6769999999997</v>
      </c>
      <c r="J40" s="61">
        <v>5386.2380000000003</v>
      </c>
      <c r="K40" s="61">
        <v>5519.1279999999997</v>
      </c>
      <c r="L40" s="61">
        <v>5677.75</v>
      </c>
      <c r="M40" s="62">
        <v>5826.0119999999997</v>
      </c>
      <c r="N40" s="62">
        <v>5973.4229999999998</v>
      </c>
      <c r="O40" s="62">
        <v>6110.4979999999996</v>
      </c>
      <c r="P40" s="63">
        <v>6271.1570000000002</v>
      </c>
      <c r="Q40" s="64">
        <v>6406.2060000000001</v>
      </c>
      <c r="R40" s="65">
        <v>6568.2460000000001</v>
      </c>
      <c r="S40" s="65">
        <v>6705.5640000000003</v>
      </c>
      <c r="T40" s="64">
        <v>6892.7209999999995</v>
      </c>
      <c r="U40" s="61">
        <v>7033.0969999999998</v>
      </c>
      <c r="V40" s="65">
        <v>7258.03</v>
      </c>
      <c r="W40" s="65">
        <v>7516.51</v>
      </c>
      <c r="X40" s="64">
        <v>7720.9030000000002</v>
      </c>
      <c r="Y40" s="64">
        <v>7815.4279999999999</v>
      </c>
      <c r="Z40" s="64">
        <v>7868.1819999999998</v>
      </c>
      <c r="AA40" s="66">
        <v>7895.9750000000004</v>
      </c>
      <c r="AB40" s="62">
        <v>8026.143</v>
      </c>
      <c r="AC40" s="64">
        <f>1968.888+1952.87+2295.828+2050.544</f>
        <v>8268.1299999999992</v>
      </c>
      <c r="AD40" s="62">
        <v>8545</v>
      </c>
      <c r="AE40" s="62">
        <v>8769.7000000000007</v>
      </c>
      <c r="AF40" s="62">
        <v>9003.48</v>
      </c>
      <c r="AG40" s="64">
        <v>9193.2309999999998</v>
      </c>
      <c r="AH40" s="64">
        <v>9372.5040000000008</v>
      </c>
      <c r="AI40" s="66">
        <v>9523.0339999999997</v>
      </c>
      <c r="AJ40" s="66">
        <v>9708.3330000000005</v>
      </c>
      <c r="AK40" s="64">
        <f>2425.07+2328.064+2714.904+2414.013</f>
        <v>9882.0509999999995</v>
      </c>
      <c r="AL40" s="64">
        <f>2328.064+2714.904+2414.013+2618.851</f>
        <v>10075.832</v>
      </c>
      <c r="AM40" s="66">
        <f>2714.904+2414.013+2618.851+2555.834</f>
        <v>10303.601999999999</v>
      </c>
      <c r="AN40" s="66">
        <f>2414.013+2618.851+2555.834+2972.391</f>
        <v>10561.089</v>
      </c>
      <c r="AO40" s="64">
        <f>2618.851+2555.834+2972.391+2636.549</f>
        <v>10783.625</v>
      </c>
      <c r="AP40" s="64">
        <f>2555.834+2972.391+2636.549+2851.672</f>
        <v>11016.446</v>
      </c>
      <c r="AQ40" s="64">
        <f>2972.391+2636.549+2851.672+2797.523</f>
        <v>11258.135000000002</v>
      </c>
      <c r="AR40" s="66">
        <v>11542.286</v>
      </c>
      <c r="AS40" s="66">
        <f>2851.672+2797.523+3256.542+2879.481</f>
        <v>11785.217999999999</v>
      </c>
      <c r="AT40" s="64">
        <f>2797.523+3256.542+2879.481+3141.857</f>
        <v>12075.403</v>
      </c>
      <c r="AU40" s="67">
        <f>3256.542+2879.481+3141.857+3046.549</f>
        <v>12324.429</v>
      </c>
      <c r="AV40" s="64">
        <v>12642.736000000001</v>
      </c>
      <c r="AW40" s="64">
        <f>3141.857+3046.549+3574.849+3031.96656826752</f>
        <v>12795.221568267521</v>
      </c>
      <c r="AX40" s="64">
        <f>3046.549+3574.849+3031.967+3311.875</f>
        <v>12965.24</v>
      </c>
      <c r="AY40" s="64">
        <f>3574.849+3031.967+3311.876+3181.271</f>
        <v>13099.963000000002</v>
      </c>
      <c r="AZ40" s="64"/>
      <c r="BA40" s="64"/>
      <c r="BB40" s="64"/>
      <c r="BC40" s="64"/>
      <c r="BD40" s="64"/>
    </row>
    <row r="41" spans="1:56" ht="14.1" customHeight="1">
      <c r="A41" s="68" t="s">
        <v>33</v>
      </c>
      <c r="B41" s="68"/>
      <c r="C41" s="68"/>
      <c r="D41" s="69"/>
      <c r="E41" s="70"/>
      <c r="F41" s="2"/>
      <c r="G41" s="2"/>
      <c r="H41" s="2"/>
      <c r="I41" s="3"/>
      <c r="J41" s="2"/>
      <c r="K41" s="3"/>
      <c r="L41" s="7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56" ht="14.1" customHeight="1">
      <c r="A42" s="2" t="s">
        <v>34</v>
      </c>
      <c r="B42" s="2" t="s">
        <v>35</v>
      </c>
      <c r="C42" s="2"/>
      <c r="D42" s="2"/>
      <c r="E42" s="45"/>
      <c r="F42" s="45"/>
      <c r="G42" s="24"/>
      <c r="H42" s="24"/>
      <c r="I42" s="24"/>
      <c r="J42" s="24"/>
      <c r="K42" s="72"/>
      <c r="L42" s="4"/>
      <c r="M42" s="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56" ht="14.1" customHeight="1">
      <c r="A43" s="2"/>
      <c r="B43" s="2" t="s">
        <v>36</v>
      </c>
      <c r="C43" s="2"/>
      <c r="D43" s="2"/>
      <c r="E43" s="45"/>
      <c r="F43" s="45"/>
      <c r="G43" s="24"/>
      <c r="H43" s="24"/>
      <c r="I43" s="24"/>
      <c r="J43" s="24"/>
      <c r="K43" s="58"/>
      <c r="L43" s="4"/>
      <c r="M43" s="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1:56" ht="14.1" customHeight="1">
      <c r="A44" s="2" t="s">
        <v>37</v>
      </c>
      <c r="B44" s="2" t="s">
        <v>38</v>
      </c>
      <c r="C44" s="2"/>
      <c r="D44" s="2"/>
      <c r="E44" s="3"/>
      <c r="F44" s="3"/>
      <c r="G44" s="3"/>
      <c r="H44" s="22"/>
      <c r="I44" s="2"/>
      <c r="J44" s="2"/>
      <c r="K44" s="58"/>
      <c r="L44" s="4"/>
      <c r="M44" s="73"/>
      <c r="N44" s="73"/>
      <c r="O44" s="73"/>
      <c r="P44" s="73"/>
      <c r="Q44" s="2"/>
      <c r="R44" s="74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1:56" ht="14.1" customHeight="1">
      <c r="A45" s="2" t="s">
        <v>39</v>
      </c>
      <c r="B45" s="2" t="s">
        <v>40</v>
      </c>
      <c r="C45" s="4"/>
      <c r="D45" s="4"/>
      <c r="E45" s="3"/>
      <c r="F45" s="3"/>
      <c r="G45" s="3"/>
      <c r="H45" s="22"/>
      <c r="I45" s="2"/>
      <c r="J45" s="24"/>
      <c r="K45" s="2"/>
      <c r="L45" s="4"/>
      <c r="M45" s="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7" spans="1:56">
      <c r="D47" t="s">
        <v>41</v>
      </c>
    </row>
    <row r="48" spans="1:56">
      <c r="D48" t="s">
        <v>42</v>
      </c>
    </row>
  </sheetData>
  <mergeCells count="13">
    <mergeCell ref="Y3:AB3"/>
    <mergeCell ref="AW3:AZ3"/>
    <mergeCell ref="BA3:BD3"/>
    <mergeCell ref="E3:H3"/>
    <mergeCell ref="I3:L3"/>
    <mergeCell ref="M3:P3"/>
    <mergeCell ref="Q3:T3"/>
    <mergeCell ref="U3:X3"/>
    <mergeCell ref="AC3:AF3"/>
    <mergeCell ref="AG3:AJ3"/>
    <mergeCell ref="AK3:AN3"/>
    <mergeCell ref="AO3:AR3"/>
    <mergeCell ref="AS3:AV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47"/>
  <sheetViews>
    <sheetView tabSelected="1" topLeftCell="AH22" workbookViewId="0">
      <selection activeCell="AY37" sqref="AY37"/>
    </sheetView>
  </sheetViews>
  <sheetFormatPr defaultRowHeight="15"/>
  <cols>
    <col min="1" max="3" width="2.42578125" customWidth="1"/>
    <col min="4" max="4" width="51" customWidth="1"/>
  </cols>
  <sheetData>
    <row r="1" spans="1:56" ht="14.1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2" spans="1:56" ht="14.1" customHeight="1">
      <c r="A2" s="5" t="s">
        <v>1</v>
      </c>
      <c r="B2" s="6"/>
      <c r="C2" s="6"/>
      <c r="D2" s="6"/>
      <c r="E2" s="2"/>
      <c r="F2" s="2"/>
      <c r="G2" s="2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"/>
      <c r="AD2" s="4"/>
      <c r="AE2" s="4"/>
      <c r="AF2" s="2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56" ht="14.1" customHeight="1">
      <c r="A3" s="7"/>
      <c r="B3" s="8"/>
      <c r="C3" s="8"/>
      <c r="D3" s="8"/>
      <c r="E3" s="85">
        <v>2004</v>
      </c>
      <c r="F3" s="86"/>
      <c r="G3" s="86"/>
      <c r="H3" s="86"/>
      <c r="I3" s="85">
        <v>2005</v>
      </c>
      <c r="J3" s="85"/>
      <c r="K3" s="85"/>
      <c r="L3" s="85"/>
      <c r="M3" s="85">
        <v>2006</v>
      </c>
      <c r="N3" s="85"/>
      <c r="O3" s="85"/>
      <c r="P3" s="85"/>
      <c r="Q3" s="85">
        <v>2007</v>
      </c>
      <c r="R3" s="85"/>
      <c r="S3" s="85"/>
      <c r="T3" s="85"/>
      <c r="U3" s="85">
        <v>2008</v>
      </c>
      <c r="V3" s="85"/>
      <c r="W3" s="85"/>
      <c r="X3" s="85"/>
      <c r="Y3" s="85">
        <v>2009</v>
      </c>
      <c r="Z3" s="85"/>
      <c r="AA3" s="85"/>
      <c r="AB3" s="85"/>
      <c r="AC3" s="85">
        <v>2010</v>
      </c>
      <c r="AD3" s="85"/>
      <c r="AE3" s="85"/>
      <c r="AF3" s="85"/>
      <c r="AG3" s="85">
        <v>2011</v>
      </c>
      <c r="AH3" s="85"/>
      <c r="AI3" s="85"/>
      <c r="AJ3" s="85"/>
      <c r="AK3" s="85">
        <v>2012</v>
      </c>
      <c r="AL3" s="85"/>
      <c r="AM3" s="85"/>
      <c r="AN3" s="85"/>
      <c r="AO3" s="85">
        <v>2013</v>
      </c>
      <c r="AP3" s="85"/>
      <c r="AQ3" s="85"/>
      <c r="AR3" s="85"/>
      <c r="AS3" s="85">
        <v>2014</v>
      </c>
      <c r="AT3" s="85"/>
      <c r="AU3" s="85"/>
      <c r="AV3" s="85"/>
      <c r="AW3" s="85">
        <v>2015</v>
      </c>
      <c r="AX3" s="85"/>
      <c r="AY3" s="85"/>
      <c r="AZ3" s="85"/>
      <c r="BA3" s="85">
        <v>2016</v>
      </c>
      <c r="BB3" s="85"/>
      <c r="BC3" s="85"/>
      <c r="BD3" s="85"/>
    </row>
    <row r="4" spans="1:56" s="84" customFormat="1" ht="14.1" customHeight="1">
      <c r="A4" s="10"/>
      <c r="B4" s="10"/>
      <c r="C4" s="10"/>
      <c r="D4" s="10"/>
      <c r="E4" s="10" t="s">
        <v>2</v>
      </c>
      <c r="F4" s="10" t="s">
        <v>3</v>
      </c>
      <c r="G4" s="10" t="s">
        <v>4</v>
      </c>
      <c r="H4" s="10" t="s">
        <v>5</v>
      </c>
      <c r="I4" s="10" t="s">
        <v>6</v>
      </c>
      <c r="J4" s="10" t="s">
        <v>7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4</v>
      </c>
      <c r="P4" s="10" t="s">
        <v>5</v>
      </c>
      <c r="Q4" s="10" t="s">
        <v>6</v>
      </c>
      <c r="R4" s="10" t="s">
        <v>7</v>
      </c>
      <c r="S4" s="10" t="s">
        <v>4</v>
      </c>
      <c r="T4" s="10" t="s">
        <v>5</v>
      </c>
      <c r="U4" s="10" t="s">
        <v>6</v>
      </c>
      <c r="V4" s="10" t="s">
        <v>7</v>
      </c>
      <c r="W4" s="10" t="s">
        <v>4</v>
      </c>
      <c r="X4" s="10" t="s">
        <v>5</v>
      </c>
      <c r="Y4" s="10" t="s">
        <v>6</v>
      </c>
      <c r="Z4" s="10" t="s">
        <v>7</v>
      </c>
      <c r="AA4" s="10" t="s">
        <v>4</v>
      </c>
      <c r="AB4" s="10" t="s">
        <v>5</v>
      </c>
      <c r="AC4" s="10" t="s">
        <v>6</v>
      </c>
      <c r="AD4" s="10" t="s">
        <v>7</v>
      </c>
      <c r="AE4" s="10" t="s">
        <v>4</v>
      </c>
      <c r="AF4" s="10" t="s">
        <v>5</v>
      </c>
      <c r="AG4" s="10" t="s">
        <v>6</v>
      </c>
      <c r="AH4" s="10" t="s">
        <v>7</v>
      </c>
      <c r="AI4" s="10" t="s">
        <v>4</v>
      </c>
      <c r="AJ4" s="10" t="s">
        <v>5</v>
      </c>
      <c r="AK4" s="10" t="s">
        <v>6</v>
      </c>
      <c r="AL4" s="10" t="s">
        <v>7</v>
      </c>
      <c r="AM4" s="10" t="s">
        <v>4</v>
      </c>
      <c r="AN4" s="10" t="s">
        <v>5</v>
      </c>
      <c r="AO4" s="10" t="s">
        <v>6</v>
      </c>
      <c r="AP4" s="10" t="s">
        <v>7</v>
      </c>
      <c r="AQ4" s="10" t="s">
        <v>4</v>
      </c>
      <c r="AR4" s="10" t="s">
        <v>5</v>
      </c>
      <c r="AS4" s="10" t="s">
        <v>6</v>
      </c>
      <c r="AT4" s="10" t="s">
        <v>7</v>
      </c>
      <c r="AU4" s="10" t="s">
        <v>4</v>
      </c>
      <c r="AV4" s="10" t="s">
        <v>5</v>
      </c>
      <c r="AW4" s="10" t="s">
        <v>6</v>
      </c>
      <c r="AX4" s="10" t="s">
        <v>7</v>
      </c>
      <c r="AY4" s="10" t="s">
        <v>4</v>
      </c>
      <c r="AZ4" s="10" t="s">
        <v>5</v>
      </c>
      <c r="BA4" s="10" t="s">
        <v>6</v>
      </c>
      <c r="BB4" s="10" t="s">
        <v>7</v>
      </c>
      <c r="BC4" s="10" t="s">
        <v>4</v>
      </c>
      <c r="BD4" s="10" t="s">
        <v>5</v>
      </c>
    </row>
    <row r="5" spans="1:56" ht="14.1" customHeight="1">
      <c r="A5" s="11" t="s">
        <v>8</v>
      </c>
      <c r="B5" s="12" t="s">
        <v>9</v>
      </c>
      <c r="C5" s="12"/>
      <c r="D5" s="12"/>
      <c r="E5" s="76">
        <f>'ggdebt lvl'!E5/'ggdebt lvl'!E40</f>
        <v>0.74223812329280714</v>
      </c>
      <c r="F5" s="76">
        <f>'ggdebt lvl'!F5/'ggdebt lvl'!F40</f>
        <v>0.73521351147297798</v>
      </c>
      <c r="G5" s="76">
        <f>'ggdebt lvl'!G5/'ggdebt lvl'!G40</f>
        <v>0.75268105321777867</v>
      </c>
      <c r="H5" s="76">
        <f>'ggdebt lvl'!H5/'ggdebt lvl'!H40</f>
        <v>0.74445901568909667</v>
      </c>
      <c r="I5" s="76">
        <f>'ggdebt lvl'!I5/'ggdebt lvl'!I40</f>
        <v>0.73811720943507209</v>
      </c>
      <c r="J5" s="76">
        <f>'ggdebt lvl'!J5/'ggdebt lvl'!J40</f>
        <v>0.72240253772670271</v>
      </c>
      <c r="K5" s="76">
        <f>'ggdebt lvl'!K5/'ggdebt lvl'!K40</f>
        <v>0.72817082698571223</v>
      </c>
      <c r="L5" s="76">
        <f>'ggdebt lvl'!L5/'ggdebt lvl'!L40</f>
        <v>0.68481898639425831</v>
      </c>
      <c r="M5" s="76">
        <f>'ggdebt lvl'!M5/'ggdebt lvl'!M40</f>
        <v>0.6801386608884431</v>
      </c>
      <c r="N5" s="76">
        <f>'ggdebt lvl'!N5/'ggdebt lvl'!N40</f>
        <v>0.66938269732446543</v>
      </c>
      <c r="O5" s="76">
        <f>'ggdebt lvl'!O5/'ggdebt lvl'!O40</f>
        <v>0.642879189224839</v>
      </c>
      <c r="P5" s="76">
        <f>'ggdebt lvl'!P5/'ggdebt lvl'!P40</f>
        <v>0.61416194810622671</v>
      </c>
      <c r="Q5" s="76">
        <f>'ggdebt lvl'!Q5/'ggdebt lvl'!Q40</f>
        <v>0.6136649367816146</v>
      </c>
      <c r="R5" s="76">
        <f>'ggdebt lvl'!R5/'ggdebt lvl'!R40</f>
        <v>0.575838511529562</v>
      </c>
      <c r="S5" s="76">
        <f>'ggdebt lvl'!S5/'ggdebt lvl'!S40</f>
        <v>0.57142993490182181</v>
      </c>
      <c r="T5" s="76">
        <f>'ggdebt lvl'!T5/'ggdebt lvl'!T40</f>
        <v>0.53860978850007135</v>
      </c>
      <c r="U5" s="76">
        <f>'ggdebt lvl'!U5/'ggdebt lvl'!U40</f>
        <v>0.55186911256875892</v>
      </c>
      <c r="V5" s="76">
        <f>'ggdebt lvl'!V5/'ggdebt lvl'!V40</f>
        <v>0.5460885391766086</v>
      </c>
      <c r="W5" s="76">
        <f>'ggdebt lvl'!W5/'ggdebt lvl'!W40</f>
        <v>0.54555478539907476</v>
      </c>
      <c r="X5" s="76">
        <f>'ggdebt lvl'!X5/'ggdebt lvl'!X40</f>
        <v>0.5466851480973145</v>
      </c>
      <c r="Y5" s="76">
        <f>'ggdebt lvl'!Y5/'ggdebt lvl'!Y40</f>
        <v>0.54105763625485381</v>
      </c>
      <c r="Z5" s="76">
        <f>'ggdebt lvl'!Z5/'ggdebt lvl'!Z40</f>
        <v>0.53724062305625364</v>
      </c>
      <c r="AA5" s="76">
        <f>'ggdebt lvl'!AA5/'ggdebt lvl'!AA40</f>
        <v>0.54944588856980925</v>
      </c>
      <c r="AB5" s="76">
        <f>'ggdebt lvl'!AB5/'ggdebt lvl'!AB40</f>
        <v>0.5477898911095902</v>
      </c>
      <c r="AC5" s="76">
        <f>'ggdebt lvl'!AC5/'ggdebt lvl'!AC40</f>
        <v>0.53918878875876408</v>
      </c>
      <c r="AD5" s="76">
        <f>'ggdebt lvl'!AD5/'ggdebt lvl'!AD40</f>
        <v>0.53626974839087183</v>
      </c>
      <c r="AE5" s="76">
        <f>'ggdebt lvl'!AE5/'ggdebt lvl'!AE40</f>
        <v>0.53185274296726226</v>
      </c>
      <c r="AF5" s="76">
        <f>'ggdebt lvl'!AF5/'ggdebt lvl'!AF40</f>
        <v>0.52403859396588881</v>
      </c>
      <c r="AG5" s="76">
        <f>'ggdebt lvl'!AG5/'ggdebt lvl'!AG40</f>
        <v>0.51185780059263175</v>
      </c>
      <c r="AH5" s="76">
        <f>'ggdebt lvl'!AH5/'ggdebt lvl'!AH40</f>
        <v>0.51321450489645015</v>
      </c>
      <c r="AI5" s="76">
        <f>'ggdebt lvl'!AI5/'ggdebt lvl'!AI40</f>
        <v>0.51147785464170348</v>
      </c>
      <c r="AJ5" s="76">
        <f>'ggdebt lvl'!AJ5/'ggdebt lvl'!AJ40</f>
        <v>0.50999363124441655</v>
      </c>
      <c r="AK5" s="76">
        <f>'ggdebt lvl'!AK5/'ggdebt lvl'!AK40</f>
        <v>0.51496789482264371</v>
      </c>
      <c r="AL5" s="76">
        <f>'ggdebt lvl'!AL5/'ggdebt lvl'!AL40</f>
        <v>0.50622132246746476</v>
      </c>
      <c r="AM5" s="76">
        <f>'ggdebt lvl'!AM5/'ggdebt lvl'!AM40</f>
        <v>0.50594462014351871</v>
      </c>
      <c r="AN5" s="76">
        <f>'ggdebt lvl'!AN5/'ggdebt lvl'!AN40</f>
        <v>0.51482418148355724</v>
      </c>
      <c r="AO5" s="76">
        <f>'ggdebt lvl'!AO5/'ggdebt lvl'!AO40</f>
        <v>0.48976851476196542</v>
      </c>
      <c r="AP5" s="76">
        <f>'ggdebt lvl'!AP5/'ggdebt lvl'!AP40</f>
        <v>0.49483544874635615</v>
      </c>
      <c r="AQ5" s="76">
        <f>'ggdebt lvl'!AQ5/'ggdebt lvl'!AQ40</f>
        <v>0.49827657955780413</v>
      </c>
      <c r="AR5" s="76">
        <f>'ggdebt lvl'!AR5/'ggdebt lvl'!AR40</f>
        <v>0.49220345085886802</v>
      </c>
      <c r="AS5" s="76">
        <f>'ggdebt lvl'!AS5/'ggdebt lvl'!AS40</f>
        <v>0.47758344393799085</v>
      </c>
      <c r="AT5" s="76">
        <f>'ggdebt lvl'!AT5/'ggdebt lvl'!AT40</f>
        <v>0.46796632791468734</v>
      </c>
      <c r="AU5" s="76">
        <f>'ggdebt lvl'!AU5/'ggdebt lvl'!AU40</f>
        <v>0.46436277088374639</v>
      </c>
      <c r="AV5" s="76">
        <f>'ggdebt lvl'!AV5/'ggdebt lvl'!AV40</f>
        <v>0.45363930718793777</v>
      </c>
      <c r="AW5" s="76">
        <f>'ggdebt lvl'!AW5/'ggdebt lvl'!AW40</f>
        <v>0.45230908813278303</v>
      </c>
      <c r="AX5" s="76">
        <f>'ggdebt lvl'!AX5/'ggdebt lvl'!AX40</f>
        <v>0.44860072007922724</v>
      </c>
      <c r="AY5" s="76">
        <f>'ggdebt lvl'!AY5/'ggdebt lvl'!AY40</f>
        <v>0.45310767799930041</v>
      </c>
    </row>
    <row r="6" spans="1:56" ht="14.1" customHeight="1">
      <c r="A6" s="2"/>
      <c r="B6" s="2"/>
      <c r="C6" s="2" t="s">
        <v>10</v>
      </c>
      <c r="D6" s="2"/>
      <c r="E6" s="75">
        <f>'ggdebt lvl'!E6/'ggdebt lvl'!E40</f>
        <v>0.37764383268169893</v>
      </c>
      <c r="F6" s="75">
        <f>'ggdebt lvl'!F6/'ggdebt lvl'!F40</f>
        <v>0.38113581484918324</v>
      </c>
      <c r="G6" s="75">
        <f>'ggdebt lvl'!G6/'ggdebt lvl'!G40</f>
        <v>0.39577312893458477</v>
      </c>
      <c r="H6" s="75">
        <f>'ggdebt lvl'!H6/'ggdebt lvl'!H40</f>
        <v>0.39083007596034319</v>
      </c>
      <c r="I6" s="75">
        <f>'ggdebt lvl'!I6/'ggdebt lvl'!I40</f>
        <v>0.39290192814246283</v>
      </c>
      <c r="J6" s="75">
        <f>'ggdebt lvl'!J6/'ggdebt lvl'!J40</f>
        <v>0.37781323439476677</v>
      </c>
      <c r="K6" s="75">
        <f>'ggdebt lvl'!K6/'ggdebt lvl'!K40</f>
        <v>0.38855195965739514</v>
      </c>
      <c r="L6" s="75">
        <f>'ggdebt lvl'!L6/'ggdebt lvl'!L40</f>
        <v>0.38118849896525914</v>
      </c>
      <c r="M6" s="75">
        <f>'ggdebt lvl'!M6/'ggdebt lvl'!M40</f>
        <v>0.37596266537041118</v>
      </c>
      <c r="N6" s="75">
        <f>'ggdebt lvl'!N6/'ggdebt lvl'!N40</f>
        <v>0.36183056180685685</v>
      </c>
      <c r="O6" s="75">
        <f>'ggdebt lvl'!O6/'ggdebt lvl'!O40</f>
        <v>0.35420451819147969</v>
      </c>
      <c r="P6" s="75">
        <f>'ggdebt lvl'!P6/'ggdebt lvl'!P40</f>
        <v>0.34348972605852474</v>
      </c>
      <c r="Q6" s="75">
        <f>'ggdebt lvl'!Q6/'ggdebt lvl'!Q40</f>
        <v>0.33994972999619433</v>
      </c>
      <c r="R6" s="75">
        <f>'ggdebt lvl'!R6/'ggdebt lvl'!R40</f>
        <v>0.32259160208067722</v>
      </c>
      <c r="S6" s="75">
        <f>'ggdebt lvl'!S6/'ggdebt lvl'!S40</f>
        <v>0.32897590717201414</v>
      </c>
      <c r="T6" s="75">
        <f>'ggdebt lvl'!T6/'ggdebt lvl'!T40</f>
        <v>0.31934659766440571</v>
      </c>
      <c r="U6" s="75">
        <f>'ggdebt lvl'!U6/'ggdebt lvl'!U40</f>
        <v>0.32513101980535741</v>
      </c>
      <c r="V6" s="75">
        <f>'ggdebt lvl'!V6/'ggdebt lvl'!V40</f>
        <v>0.31733445576830077</v>
      </c>
      <c r="W6" s="75">
        <f>'ggdebt lvl'!W6/'ggdebt lvl'!W40</f>
        <v>0.31523060569333378</v>
      </c>
      <c r="X6" s="75">
        <f>'ggdebt lvl'!X6/'ggdebt lvl'!X40</f>
        <v>0.31271316321419912</v>
      </c>
      <c r="Y6" s="75">
        <f>'ggdebt lvl'!Y6/'ggdebt lvl'!Y40</f>
        <v>0.30541884590325696</v>
      </c>
      <c r="Z6" s="75">
        <f>'ggdebt lvl'!Z6/'ggdebt lvl'!Z40</f>
        <v>0.30198704097083673</v>
      </c>
      <c r="AA6" s="75">
        <f>'ggdebt lvl'!AA6/'ggdebt lvl'!AA40</f>
        <v>0.30701743609877186</v>
      </c>
      <c r="AB6" s="75">
        <f>'ggdebt lvl'!AB6/'ggdebt lvl'!AB40</f>
        <v>0.3077493137114552</v>
      </c>
      <c r="AC6" s="75">
        <f>'ggdebt lvl'!AC6/'ggdebt lvl'!AC40</f>
        <v>0.30680057038290404</v>
      </c>
      <c r="AD6" s="75">
        <f>'ggdebt lvl'!AD6/'ggdebt lvl'!AD40</f>
        <v>0.30378162668227032</v>
      </c>
      <c r="AE6" s="75">
        <f>'ggdebt lvl'!AE6/'ggdebt lvl'!AE40</f>
        <v>0.3077057367982941</v>
      </c>
      <c r="AF6" s="75">
        <f>'ggdebt lvl'!AF6/'ggdebt lvl'!AF40</f>
        <v>0.30190570757085045</v>
      </c>
      <c r="AG6" s="75">
        <f>'ggdebt lvl'!AG6/'ggdebt lvl'!AG40</f>
        <v>0.29006907364777412</v>
      </c>
      <c r="AH6" s="75">
        <f>'ggdebt lvl'!AH6/'ggdebt lvl'!AH40</f>
        <v>0.29435175487788534</v>
      </c>
      <c r="AI6" s="75">
        <f>'ggdebt lvl'!AI6/'ggdebt lvl'!AI40</f>
        <v>0.29201134848410704</v>
      </c>
      <c r="AJ6" s="75">
        <f>'ggdebt lvl'!AJ6/'ggdebt lvl'!AJ40</f>
        <v>0.29596811316628713</v>
      </c>
      <c r="AK6" s="75">
        <f>'ggdebt lvl'!AK6/'ggdebt lvl'!AK40</f>
        <v>0.30510063143774507</v>
      </c>
      <c r="AL6" s="75">
        <f>'ggdebt lvl'!AL6/'ggdebt lvl'!AL40</f>
        <v>0.30270989035942641</v>
      </c>
      <c r="AM6" s="75">
        <f>'ggdebt lvl'!AM6/'ggdebt lvl'!AM40</f>
        <v>0.30910151614940096</v>
      </c>
      <c r="AN6" s="75">
        <f>'ggdebt lvl'!AN6/'ggdebt lvl'!AN40</f>
        <v>0.32841073491568912</v>
      </c>
      <c r="AO6" s="75">
        <f>'ggdebt lvl'!AO6/'ggdebt lvl'!AO40</f>
        <v>0.31586168843964807</v>
      </c>
      <c r="AP6" s="75">
        <f>'ggdebt lvl'!AP6/'ggdebt lvl'!AP40</f>
        <v>0.31786939272429604</v>
      </c>
      <c r="AQ6" s="75">
        <f>'ggdebt lvl'!AQ6/'ggdebt lvl'!AQ40</f>
        <v>0.32665872278134872</v>
      </c>
      <c r="AR6" s="75">
        <f>'ggdebt lvl'!AR6/'ggdebt lvl'!AR40</f>
        <v>0.32345602942086171</v>
      </c>
      <c r="AS6" s="75">
        <f>'ggdebt lvl'!AS6/'ggdebt lvl'!AS40</f>
        <v>0.31075547350927241</v>
      </c>
      <c r="AT6" s="75">
        <f>'ggdebt lvl'!AT6/'ggdebt lvl'!AT40</f>
        <v>0.3090410315912438</v>
      </c>
      <c r="AU6" s="75">
        <f>'ggdebt lvl'!AU6/'ggdebt lvl'!AU40</f>
        <v>0.30503198160336675</v>
      </c>
      <c r="AV6" s="75">
        <f>'ggdebt lvl'!AV6/'ggdebt lvl'!AV40</f>
        <v>0.30219748320300288</v>
      </c>
      <c r="AW6" s="75">
        <f>'ggdebt lvl'!AW6/'ggdebt lvl'!AW40</f>
        <v>0.30126066824506953</v>
      </c>
      <c r="AX6" s="75">
        <f>'ggdebt lvl'!AX6/'ggdebt lvl'!AX40</f>
        <v>0.29612332667964497</v>
      </c>
      <c r="AY6" s="75">
        <f>'ggdebt lvl'!AY6/'ggdebt lvl'!AY40</f>
        <v>0.29642537447580192</v>
      </c>
    </row>
    <row r="7" spans="1:56" ht="14.1" customHeight="1">
      <c r="A7" s="2"/>
      <c r="B7" s="2"/>
      <c r="C7" s="2" t="s">
        <v>11</v>
      </c>
      <c r="D7" s="2"/>
      <c r="E7" s="75">
        <f>'ggdebt lvl'!E7/'ggdebt lvl'!E40</f>
        <v>0.36459429061110815</v>
      </c>
      <c r="F7" s="75">
        <f>'ggdebt lvl'!F7/'ggdebt lvl'!F40</f>
        <v>0.35407769662379474</v>
      </c>
      <c r="G7" s="75">
        <f>'ggdebt lvl'!G7/'ggdebt lvl'!G40</f>
        <v>0.35690792428319384</v>
      </c>
      <c r="H7" s="75">
        <f>'ggdebt lvl'!H7/'ggdebt lvl'!H40</f>
        <v>0.35362893972875348</v>
      </c>
      <c r="I7" s="75">
        <f>'ggdebt lvl'!I7/'ggdebt lvl'!I40</f>
        <v>0.34521528129260926</v>
      </c>
      <c r="J7" s="75">
        <f>'ggdebt lvl'!J7/'ggdebt lvl'!J40</f>
        <v>0.34458930333193594</v>
      </c>
      <c r="K7" s="75">
        <f>'ggdebt lvl'!K7/'ggdebt lvl'!K40</f>
        <v>0.33961886732831714</v>
      </c>
      <c r="L7" s="75">
        <f>'ggdebt lvl'!L7/'ggdebt lvl'!L40</f>
        <v>0.30363048742899917</v>
      </c>
      <c r="M7" s="75">
        <f>'ggdebt lvl'!M7/'ggdebt lvl'!M40</f>
        <v>0.30417599551803193</v>
      </c>
      <c r="N7" s="75">
        <f>'ggdebt lvl'!N7/'ggdebt lvl'!N40</f>
        <v>0.30755213551760857</v>
      </c>
      <c r="O7" s="75">
        <f>'ggdebt lvl'!O7/'ggdebt lvl'!O40</f>
        <v>0.28867467103335931</v>
      </c>
      <c r="P7" s="75">
        <f>'ggdebt lvl'!P7/'ggdebt lvl'!P40</f>
        <v>0.27067222204770192</v>
      </c>
      <c r="Q7" s="75">
        <f>'ggdebt lvl'!Q7/'ggdebt lvl'!Q40</f>
        <v>0.27371520678542027</v>
      </c>
      <c r="R7" s="75">
        <f>'ggdebt lvl'!R7/'ggdebt lvl'!R40</f>
        <v>0.25324690944888484</v>
      </c>
      <c r="S7" s="75">
        <f>'ggdebt lvl'!S7/'ggdebt lvl'!S40</f>
        <v>0.24245402772980765</v>
      </c>
      <c r="T7" s="75">
        <f>'ggdebt lvl'!T7/'ggdebt lvl'!T40</f>
        <v>0.21926319083566562</v>
      </c>
      <c r="U7" s="75">
        <f>'ggdebt lvl'!U7/'ggdebt lvl'!U40</f>
        <v>0.2267380927634014</v>
      </c>
      <c r="V7" s="75">
        <f>'ggdebt lvl'!V7/'ggdebt lvl'!V40</f>
        <v>0.22875408340830777</v>
      </c>
      <c r="W7" s="75">
        <f>'ggdebt lvl'!W7/'ggdebt lvl'!W40</f>
        <v>0.23032417970574107</v>
      </c>
      <c r="X7" s="75">
        <f>'ggdebt lvl'!X7/'ggdebt lvl'!X40</f>
        <v>0.23397198488311532</v>
      </c>
      <c r="Y7" s="75">
        <f>'ggdebt lvl'!Y7/'ggdebt lvl'!Y40</f>
        <v>0.23563879035159685</v>
      </c>
      <c r="Z7" s="75">
        <f>'ggdebt lvl'!Z7/'ggdebt lvl'!Z40</f>
        <v>0.23525358208541694</v>
      </c>
      <c r="AA7" s="75">
        <f>'ggdebt lvl'!AA7/'ggdebt lvl'!AA40</f>
        <v>0.24242845247103745</v>
      </c>
      <c r="AB7" s="75">
        <f>'ggdebt lvl'!AB7/'ggdebt lvl'!AB40</f>
        <v>0.24004057739813506</v>
      </c>
      <c r="AC7" s="75">
        <f>'ggdebt lvl'!AC7/'ggdebt lvl'!AC40</f>
        <v>0.2323882183758601</v>
      </c>
      <c r="AD7" s="75">
        <f>'ggdebt lvl'!AD7/'ggdebt lvl'!AD40</f>
        <v>0.23248812170860153</v>
      </c>
      <c r="AE7" s="75">
        <f>'ggdebt lvl'!AE7/'ggdebt lvl'!AE40</f>
        <v>0.22414700616896813</v>
      </c>
      <c r="AF7" s="75">
        <f>'ggdebt lvl'!AF7/'ggdebt lvl'!AF40</f>
        <v>0.22213288639503839</v>
      </c>
      <c r="AG7" s="75">
        <f>'ggdebt lvl'!AG7/'ggdebt lvl'!AG40</f>
        <v>0.22178872694485757</v>
      </c>
      <c r="AH7" s="75">
        <f>'ggdebt lvl'!AH7/'ggdebt lvl'!AH40</f>
        <v>0.21886275001856492</v>
      </c>
      <c r="AI7" s="75">
        <f>'ggdebt lvl'!AI7/'ggdebt lvl'!AI40</f>
        <v>0.21946650615759644</v>
      </c>
      <c r="AJ7" s="75">
        <f>'ggdebt lvl'!AJ7/'ggdebt lvl'!AJ40</f>
        <v>0.21402551807812939</v>
      </c>
      <c r="AK7" s="75">
        <f>'ggdebt lvl'!AK7/'ggdebt lvl'!AK40</f>
        <v>0.20986726338489853</v>
      </c>
      <c r="AL7" s="75">
        <f>'ggdebt lvl'!AL7/'ggdebt lvl'!AL40</f>
        <v>0.20351143210803832</v>
      </c>
      <c r="AM7" s="75">
        <f>'ggdebt lvl'!AM7/'ggdebt lvl'!AM40</f>
        <v>0.19684310399411781</v>
      </c>
      <c r="AN7" s="75">
        <f>'ggdebt lvl'!AN7/'ggdebt lvl'!AN40</f>
        <v>0.18641344656786815</v>
      </c>
      <c r="AO7" s="75">
        <f>'ggdebt lvl'!AO7/'ggdebt lvl'!AO40</f>
        <v>0.17390682632231741</v>
      </c>
      <c r="AP7" s="75">
        <f>'ggdebt lvl'!AP7/'ggdebt lvl'!AP40</f>
        <v>0.17696605602206011</v>
      </c>
      <c r="AQ7" s="75">
        <f>'ggdebt lvl'!AQ7/'ggdebt lvl'!AQ40</f>
        <v>0.17161785677645539</v>
      </c>
      <c r="AR7" s="75">
        <f>'ggdebt lvl'!AR7/'ggdebt lvl'!AR40</f>
        <v>0.16874742143800631</v>
      </c>
      <c r="AS7" s="75">
        <f>'ggdebt lvl'!AS7/'ggdebt lvl'!AS40</f>
        <v>0.16682797042871844</v>
      </c>
      <c r="AT7" s="75">
        <f>'ggdebt lvl'!AT7/'ggdebt lvl'!AT40</f>
        <v>0.1589252963234436</v>
      </c>
      <c r="AU7" s="75">
        <f>'ggdebt lvl'!AU7/'ggdebt lvl'!AU40</f>
        <v>0.15933078928037964</v>
      </c>
      <c r="AV7" s="75">
        <f>'ggdebt lvl'!AV7/'ggdebt lvl'!AV40</f>
        <v>0.15144182398493489</v>
      </c>
      <c r="AW7" s="75">
        <f>'ggdebt lvl'!AW7/'ggdebt lvl'!AW40</f>
        <v>0.15104841988771345</v>
      </c>
      <c r="AX7" s="75">
        <f>'ggdebt lvl'!AX7/'ggdebt lvl'!AX40</f>
        <v>0.15247739339958227</v>
      </c>
      <c r="AY7" s="75">
        <f>'ggdebt lvl'!AY7/'ggdebt lvl'!AY40</f>
        <v>0.15668230352349849</v>
      </c>
    </row>
    <row r="8" spans="1:56" ht="14.1" customHeight="1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</row>
    <row r="9" spans="1:56" ht="14.1" customHeight="1">
      <c r="A9" s="23" t="s">
        <v>12</v>
      </c>
      <c r="B9" s="24" t="s">
        <v>13</v>
      </c>
      <c r="C9" s="24"/>
      <c r="D9" s="24"/>
      <c r="E9" s="77">
        <f>'ggdebt lvl'!E9/'ggdebt lvl'!E40</f>
        <v>6.2890497563065723E-2</v>
      </c>
      <c r="F9" s="77">
        <f>'ggdebt lvl'!F9/'ggdebt lvl'!F40</f>
        <v>7.3273663121168869E-2</v>
      </c>
      <c r="G9" s="77">
        <f>'ggdebt lvl'!G9/'ggdebt lvl'!G40</f>
        <v>7.8584418433834194E-2</v>
      </c>
      <c r="H9" s="77">
        <f>'ggdebt lvl'!H9/'ggdebt lvl'!H40</f>
        <v>8.1022456099921189E-2</v>
      </c>
      <c r="I9" s="77">
        <f>'ggdebt lvl'!I9/'ggdebt lvl'!I40</f>
        <v>8.1717152735660756E-2</v>
      </c>
      <c r="J9" s="77">
        <f>'ggdebt lvl'!J9/'ggdebt lvl'!J40</f>
        <v>7.5211717343347986E-2</v>
      </c>
      <c r="K9" s="77">
        <f>'ggdebt lvl'!K9/'ggdebt lvl'!K40</f>
        <v>7.8741087360177195E-2</v>
      </c>
      <c r="L9" s="77">
        <f>'ggdebt lvl'!L9/'ggdebt lvl'!L40</f>
        <v>8.2343484655012997E-2</v>
      </c>
      <c r="M9" s="77">
        <f>'ggdebt lvl'!M9/'ggdebt lvl'!M40</f>
        <v>8.3922642109216405E-2</v>
      </c>
      <c r="N9" s="77">
        <f>'ggdebt lvl'!N9/'ggdebt lvl'!N40</f>
        <v>8.6582117154602983E-2</v>
      </c>
      <c r="O9" s="77">
        <f>'ggdebt lvl'!O9/'ggdebt lvl'!O40</f>
        <v>8.5687616623064108E-2</v>
      </c>
      <c r="P9" s="77">
        <f>'ggdebt lvl'!P9/'ggdebt lvl'!P40</f>
        <v>8.1536874296082848E-2</v>
      </c>
      <c r="Q9" s="77">
        <f>'ggdebt lvl'!Q9/'ggdebt lvl'!Q40</f>
        <v>8.6213997801506848E-2</v>
      </c>
      <c r="R9" s="77">
        <f>'ggdebt lvl'!R9/'ggdebt lvl'!R40</f>
        <v>8.5687137783816258E-2</v>
      </c>
      <c r="S9" s="77">
        <f>'ggdebt lvl'!S9/'ggdebt lvl'!S40</f>
        <v>8.1760473839337003E-2</v>
      </c>
      <c r="T9" s="77">
        <f>'ggdebt lvl'!T9/'ggdebt lvl'!T40</f>
        <v>7.7524742405793032E-2</v>
      </c>
      <c r="U9" s="77">
        <f>'ggdebt lvl'!U9/'ggdebt lvl'!U40</f>
        <v>8.9210588166209012E-2</v>
      </c>
      <c r="V9" s="77">
        <f>'ggdebt lvl'!V9/'ggdebt lvl'!V40</f>
        <v>8.4288477727427424E-2</v>
      </c>
      <c r="W9" s="77">
        <f>'ggdebt lvl'!W9/'ggdebt lvl'!W40</f>
        <v>8.2972352860569615E-2</v>
      </c>
      <c r="X9" s="77">
        <f>'ggdebt lvl'!X9/'ggdebt lvl'!X40</f>
        <v>7.9753995096169455E-2</v>
      </c>
      <c r="Y9" s="77">
        <f>'ggdebt lvl'!Y9/'ggdebt lvl'!Y40</f>
        <v>7.7449553626493653E-2</v>
      </c>
      <c r="Z9" s="77">
        <f>'ggdebt lvl'!Z9/'ggdebt lvl'!Z40</f>
        <v>7.6822671361694489E-2</v>
      </c>
      <c r="AA9" s="77">
        <f>'ggdebt lvl'!AA9/'ggdebt lvl'!AA40</f>
        <v>7.8662480567630991E-2</v>
      </c>
      <c r="AB9" s="77">
        <f>'ggdebt lvl'!AB9/'ggdebt lvl'!AB40</f>
        <v>7.7224056436572333E-2</v>
      </c>
      <c r="AC9" s="77">
        <f>'ggdebt lvl'!AC9/'ggdebt lvl'!AC40</f>
        <v>8.3835731900683719E-2</v>
      </c>
      <c r="AD9" s="77">
        <f>'ggdebt lvl'!AD9/'ggdebt lvl'!AD40</f>
        <v>7.917573200702166E-2</v>
      </c>
      <c r="AE9" s="77">
        <f>'ggdebt lvl'!AE9/'ggdebt lvl'!AE40</f>
        <v>7.3396251867224649E-2</v>
      </c>
      <c r="AF9" s="77">
        <f>'ggdebt lvl'!AF9/'ggdebt lvl'!AF40</f>
        <v>7.4808642880308501E-2</v>
      </c>
      <c r="AG9" s="77">
        <f>'ggdebt lvl'!AG9/'ggdebt lvl'!AG40</f>
        <v>4.9390481140508702E-2</v>
      </c>
      <c r="AH9" s="77">
        <f>'ggdebt lvl'!AH9/'ggdebt lvl'!AH40</f>
        <v>4.9051495018069873E-2</v>
      </c>
      <c r="AI9" s="77">
        <f>'ggdebt lvl'!AI9/'ggdebt lvl'!AI40</f>
        <v>4.5787034979511788E-2</v>
      </c>
      <c r="AJ9" s="77">
        <f>'ggdebt lvl'!AJ9/'ggdebt lvl'!AJ40</f>
        <v>6.0639377093393884E-2</v>
      </c>
      <c r="AK9" s="77">
        <f>'ggdebt lvl'!AK9/'ggdebt lvl'!AK40</f>
        <v>5.3532047318440273E-2</v>
      </c>
      <c r="AL9" s="77">
        <f>'ggdebt lvl'!AL9/'ggdebt lvl'!AL40</f>
        <v>5.7519834833712986E-2</v>
      </c>
      <c r="AM9" s="77">
        <f>'ggdebt lvl'!AM9/'ggdebt lvl'!AM40</f>
        <v>6.7280235131873312E-2</v>
      </c>
      <c r="AN9" s="77">
        <f>'ggdebt lvl'!AN9/'ggdebt lvl'!AN40</f>
        <v>7.2427858080283208E-2</v>
      </c>
      <c r="AO9" s="77">
        <f>'ggdebt lvl'!AO9/'ggdebt lvl'!AO40</f>
        <v>6.8860738567062554E-2</v>
      </c>
      <c r="AP9" s="77">
        <f>'ggdebt lvl'!AP9/'ggdebt lvl'!AP40</f>
        <v>6.8644735334789458E-2</v>
      </c>
      <c r="AQ9" s="77">
        <f>'ggdebt lvl'!AQ9/'ggdebt lvl'!AQ40</f>
        <v>6.6361790829475742E-2</v>
      </c>
      <c r="AR9" s="77">
        <f>'ggdebt lvl'!AR9/'ggdebt lvl'!AR40</f>
        <v>6.480045547303194E-2</v>
      </c>
      <c r="AS9" s="77">
        <f>'ggdebt lvl'!AS9/'ggdebt lvl'!AS40</f>
        <v>6.1625614392538185E-2</v>
      </c>
      <c r="AT9" s="77">
        <f>'ggdebt lvl'!AT9/'ggdebt lvl'!AT40</f>
        <v>6.0747646180421472E-2</v>
      </c>
      <c r="AU9" s="77">
        <f>'ggdebt lvl'!AU9/'ggdebt lvl'!AU40</f>
        <v>5.8328450873646145E-2</v>
      </c>
      <c r="AV9" s="77">
        <f>'ggdebt lvl'!AV9/'ggdebt lvl'!AV40</f>
        <v>5.6314727286878405E-2</v>
      </c>
      <c r="AW9" s="77">
        <f>'ggdebt lvl'!AW9/'ggdebt lvl'!AW40</f>
        <v>5.6212477121284181E-2</v>
      </c>
      <c r="AX9" s="77">
        <f>'ggdebt lvl'!AX9/'ggdebt lvl'!AX40</f>
        <v>5.4432513013892535E-2</v>
      </c>
      <c r="AY9" s="77">
        <f>'ggdebt lvl'!AY9/'ggdebt lvl'!AY40</f>
        <v>5.2939438431752819E-2</v>
      </c>
    </row>
    <row r="10" spans="1:56" ht="14.1" customHeight="1">
      <c r="A10" s="31"/>
      <c r="B10" s="2"/>
      <c r="C10" s="2" t="s">
        <v>10</v>
      </c>
      <c r="D10" s="2"/>
      <c r="E10" s="75">
        <f>'ggdebt lvl'!E10/'ggdebt lvl'!E40</f>
        <v>6.2338653526859834E-2</v>
      </c>
      <c r="F10" s="75">
        <f>'ggdebt lvl'!F10/'ggdebt lvl'!F40</f>
        <v>7.2655379527909986E-2</v>
      </c>
      <c r="G10" s="75">
        <f>'ggdebt lvl'!G10/'ggdebt lvl'!G40</f>
        <v>7.7961735485294295E-2</v>
      </c>
      <c r="H10" s="75">
        <f>'ggdebt lvl'!H10/'ggdebt lvl'!H40</f>
        <v>8.0416443134225885E-2</v>
      </c>
      <c r="I10" s="75">
        <f>'ggdebt lvl'!I10/'ggdebt lvl'!I40</f>
        <v>8.1136991081289453E-2</v>
      </c>
      <c r="J10" s="75">
        <f>'ggdebt lvl'!J10/'ggdebt lvl'!J40</f>
        <v>7.4615488584054396E-2</v>
      </c>
      <c r="K10" s="75">
        <f>'ggdebt lvl'!K10/'ggdebt lvl'!K40</f>
        <v>7.8007076480197599E-2</v>
      </c>
      <c r="L10" s="75">
        <f>'ggdebt lvl'!L10/'ggdebt lvl'!L40</f>
        <v>8.1658709876271413E-2</v>
      </c>
      <c r="M10" s="75">
        <f>'ggdebt lvl'!M10/'ggdebt lvl'!M40</f>
        <v>8.3266821283581302E-2</v>
      </c>
      <c r="N10" s="75">
        <f>'ggdebt lvl'!N10/'ggdebt lvl'!N40</f>
        <v>8.5905441486397338E-2</v>
      </c>
      <c r="O10" s="75">
        <f>'ggdebt lvl'!O10/'ggdebt lvl'!O40</f>
        <v>8.5052511268312328E-2</v>
      </c>
      <c r="P10" s="75">
        <f>'ggdebt lvl'!P10/'ggdebt lvl'!P40</f>
        <v>8.0925776535334712E-2</v>
      </c>
      <c r="Q10" s="75">
        <f>'ggdebt lvl'!Q10/'ggdebt lvl'!Q40</f>
        <v>8.5615300226062035E-2</v>
      </c>
      <c r="R10" s="75">
        <f>'ggdebt lvl'!R10/'ggdebt lvl'!R40</f>
        <v>8.5121659572433797E-2</v>
      </c>
      <c r="S10" s="75">
        <f>'ggdebt lvl'!S10/'ggdebt lvl'!S40</f>
        <v>8.121136417458695E-2</v>
      </c>
      <c r="T10" s="75">
        <f>'ggdebt lvl'!T10/'ggdebt lvl'!T40</f>
        <v>7.7026757647669211E-2</v>
      </c>
      <c r="U10" s="75">
        <f>'ggdebt lvl'!U10/'ggdebt lvl'!U40</f>
        <v>8.8875731416757087E-2</v>
      </c>
      <c r="V10" s="75">
        <f>'ggdebt lvl'!V10/'ggdebt lvl'!V40</f>
        <v>8.3939212155364484E-2</v>
      </c>
      <c r="W10" s="75">
        <f>'ggdebt lvl'!W10/'ggdebt lvl'!W40</f>
        <v>8.2610823374145728E-2</v>
      </c>
      <c r="X10" s="75">
        <f>'ggdebt lvl'!X10/'ggdebt lvl'!X40</f>
        <v>7.9395315547935261E-2</v>
      </c>
      <c r="Y10" s="75">
        <f>'ggdebt lvl'!Y10/'ggdebt lvl'!Y40</f>
        <v>7.7079816997866285E-2</v>
      </c>
      <c r="Z10" s="75">
        <f>'ggdebt lvl'!Z10/'ggdebt lvl'!Z40</f>
        <v>7.6452019030571486E-2</v>
      </c>
      <c r="AA10" s="75">
        <f>'ggdebt lvl'!AA10/'ggdebt lvl'!AA40</f>
        <v>7.808079052935199E-2</v>
      </c>
      <c r="AB10" s="75">
        <f>'ggdebt lvl'!AB10/'ggdebt lvl'!AB40</f>
        <v>7.6742259638284543E-2</v>
      </c>
      <c r="AC10" s="75">
        <f>'ggdebt lvl'!AC10/'ggdebt lvl'!AC40</f>
        <v>8.3835731900683719E-2</v>
      </c>
      <c r="AD10" s="75">
        <f>'ggdebt lvl'!AD10/'ggdebt lvl'!AD40</f>
        <v>7.917573200702166E-2</v>
      </c>
      <c r="AE10" s="75">
        <f>'ggdebt lvl'!AE10/'ggdebt lvl'!AE40</f>
        <v>7.3396251867224649E-2</v>
      </c>
      <c r="AF10" s="75">
        <f>'ggdebt lvl'!AF10/'ggdebt lvl'!AF40</f>
        <v>6.8316349900260795E-2</v>
      </c>
      <c r="AG10" s="75">
        <f>'ggdebt lvl'!AG10/'ggdebt lvl'!AG40</f>
        <v>4.9390481140508702E-2</v>
      </c>
      <c r="AH10" s="75">
        <f>'ggdebt lvl'!AH10/'ggdebt lvl'!AH40</f>
        <v>4.9051495018069873E-2</v>
      </c>
      <c r="AI10" s="75">
        <f>'ggdebt lvl'!AI10/'ggdebt lvl'!AI40</f>
        <v>4.5787034979511788E-2</v>
      </c>
      <c r="AJ10" s="75">
        <f>'ggdebt lvl'!AJ10/'ggdebt lvl'!AJ40</f>
        <v>5.458272452492513E-2</v>
      </c>
      <c r="AK10" s="75">
        <f>'ggdebt lvl'!AK10/'ggdebt lvl'!AK40</f>
        <v>5.3532047318440273E-2</v>
      </c>
      <c r="AL10" s="75">
        <f>'ggdebt lvl'!AL10/'ggdebt lvl'!AL40</f>
        <v>5.7519834833712986E-2</v>
      </c>
      <c r="AM10" s="75">
        <f>'ggdebt lvl'!AM10/'ggdebt lvl'!AM40</f>
        <v>6.7280235131873312E-2</v>
      </c>
      <c r="AN10" s="75">
        <f>'ggdebt lvl'!AN10/'ggdebt lvl'!AN40</f>
        <v>6.5231630494283308E-2</v>
      </c>
      <c r="AO10" s="75">
        <f>'ggdebt lvl'!AO10/'ggdebt lvl'!AO40</f>
        <v>6.2155637082172276E-2</v>
      </c>
      <c r="AP10" s="75">
        <f>'ggdebt lvl'!AP10/'ggdebt lvl'!AP40</f>
        <v>6.1685909412164321E-2</v>
      </c>
      <c r="AQ10" s="75">
        <f>'ggdebt lvl'!AQ10/'ggdebt lvl'!AQ40</f>
        <v>5.9514297883263956E-2</v>
      </c>
      <c r="AR10" s="75">
        <f>'ggdebt lvl'!AR10/'ggdebt lvl'!AR40</f>
        <v>5.7935264296864589E-2</v>
      </c>
      <c r="AS10" s="75">
        <f>'ggdebt lvl'!AS10/'ggdebt lvl'!AS40</f>
        <v>5.4983124622726545E-2</v>
      </c>
      <c r="AT10" s="75">
        <f>'ggdebt lvl'!AT10/'ggdebt lvl'!AT40</f>
        <v>5.4288631934685742E-2</v>
      </c>
      <c r="AU10" s="75">
        <f>'ggdebt lvl'!AU10/'ggdebt lvl'!AU40</f>
        <v>5.1891119781065718E-2</v>
      </c>
      <c r="AV10" s="75">
        <f>'ggdebt lvl'!AV10/'ggdebt lvl'!AV40</f>
        <v>5.0133808061799276E-2</v>
      </c>
      <c r="AW10" s="75">
        <f>'ggdebt lvl'!AW10/'ggdebt lvl'!AW40</f>
        <v>5.0202858640686694E-2</v>
      </c>
      <c r="AX10" s="75">
        <f>'ggdebt lvl'!AX10/'ggdebt lvl'!AX40</f>
        <v>4.8224004725577002E-2</v>
      </c>
      <c r="AY10" s="75">
        <f>'ggdebt lvl'!AY10/'ggdebt lvl'!AY40</f>
        <v>4.6572536479434323E-2</v>
      </c>
    </row>
    <row r="11" spans="1:56" ht="14.1" customHeight="1">
      <c r="A11" s="31"/>
      <c r="B11" s="2"/>
      <c r="C11" s="2" t="s">
        <v>11</v>
      </c>
      <c r="D11" s="2"/>
      <c r="E11" s="78">
        <f>'ggdebt lvl'!E11/'ggdebt lvl'!E40</f>
        <v>5.5184403620588075E-4</v>
      </c>
      <c r="F11" s="78">
        <f>'ggdebt lvl'!F11/'ggdebt lvl'!F40</f>
        <v>6.1828359325889781E-4</v>
      </c>
      <c r="G11" s="78">
        <f>'ggdebt lvl'!G11/'ggdebt lvl'!G40</f>
        <v>6.2268294853988547E-4</v>
      </c>
      <c r="H11" s="78">
        <f>'ggdebt lvl'!H11/'ggdebt lvl'!H40</f>
        <v>6.0601296569529734E-4</v>
      </c>
      <c r="I11" s="78">
        <f>'ggdebt lvl'!I11/'ggdebt lvl'!I40</f>
        <v>5.8016165437130144E-4</v>
      </c>
      <c r="J11" s="78">
        <f>'ggdebt lvl'!J11/'ggdebt lvl'!J40</f>
        <v>5.9622875929359227E-4</v>
      </c>
      <c r="K11" s="78">
        <f>'ggdebt lvl'!K11/'ggdebt lvl'!K40</f>
        <v>7.3401087997959104E-4</v>
      </c>
      <c r="L11" s="78">
        <f>'ggdebt lvl'!L11/'ggdebt lvl'!L40</f>
        <v>6.8477477874157901E-4</v>
      </c>
      <c r="M11" s="78">
        <f>'ggdebt lvl'!M11/'ggdebt lvl'!M40</f>
        <v>6.5582082563509999E-4</v>
      </c>
      <c r="N11" s="78">
        <f>'ggdebt lvl'!N11/'ggdebt lvl'!N40</f>
        <v>6.7667566820565027E-4</v>
      </c>
      <c r="O11" s="78">
        <f>'ggdebt lvl'!O11/'ggdebt lvl'!O40</f>
        <v>6.3510535475177316E-4</v>
      </c>
      <c r="P11" s="78">
        <f>'ggdebt lvl'!P11/'ggdebt lvl'!P40</f>
        <v>6.1109776074813626E-4</v>
      </c>
      <c r="Q11" s="78">
        <f>'ggdebt lvl'!Q11/'ggdebt lvl'!Q40</f>
        <v>5.9869757544481087E-4</v>
      </c>
      <c r="R11" s="78">
        <f>'ggdebt lvl'!R11/'ggdebt lvl'!R40</f>
        <v>5.6547821138246037E-4</v>
      </c>
      <c r="S11" s="78">
        <f>'ggdebt lvl'!S11/'ggdebt lvl'!S40</f>
        <v>5.4910966475004938E-4</v>
      </c>
      <c r="T11" s="78">
        <f>'ggdebt lvl'!T11/'ggdebt lvl'!T40</f>
        <v>4.9798475812382374E-4</v>
      </c>
      <c r="U11" s="78">
        <f>'ggdebt lvl'!U11/'ggdebt lvl'!U40</f>
        <v>3.3485674945191288E-4</v>
      </c>
      <c r="V11" s="78">
        <f>'ggdebt lvl'!V11/'ggdebt lvl'!V40</f>
        <v>3.4926557206294272E-4</v>
      </c>
      <c r="W11" s="78">
        <f>'ggdebt lvl'!W11/'ggdebt lvl'!W40</f>
        <v>3.6152948642388552E-4</v>
      </c>
      <c r="X11" s="78">
        <f>'ggdebt lvl'!X11/'ggdebt lvl'!X40</f>
        <v>3.5867954823418969E-4</v>
      </c>
      <c r="Y11" s="78">
        <f>'ggdebt lvl'!Y11/'ggdebt lvl'!Y40</f>
        <v>3.6973662862737651E-4</v>
      </c>
      <c r="Z11" s="78">
        <f>'ggdebt lvl'!Z11/'ggdebt lvl'!Z40</f>
        <v>3.7065233112299639E-4</v>
      </c>
      <c r="AA11" s="78">
        <f>'ggdebt lvl'!AA11/'ggdebt lvl'!AA40</f>
        <v>5.8169003827899645E-4</v>
      </c>
      <c r="AB11" s="78">
        <f>'ggdebt lvl'!AB11/'ggdebt lvl'!AB40</f>
        <v>4.8179679828779524E-4</v>
      </c>
      <c r="AC11" s="78">
        <f>'ggdebt lvl'!AC11/'ggdebt lvl'!AC40</f>
        <v>0</v>
      </c>
      <c r="AD11" s="78">
        <f>'ggdebt lvl'!AD11/'ggdebt lvl'!AD40</f>
        <v>0</v>
      </c>
      <c r="AE11" s="78">
        <f>'ggdebt lvl'!AE11/'ggdebt lvl'!AE40</f>
        <v>0</v>
      </c>
      <c r="AF11" s="78">
        <f>'ggdebt lvl'!AF11/'ggdebt lvl'!AF40</f>
        <v>6.4922929800477151E-3</v>
      </c>
      <c r="AG11" s="78">
        <f>'ggdebt lvl'!AG11/'ggdebt lvl'!AG40</f>
        <v>0</v>
      </c>
      <c r="AH11" s="78">
        <f>'ggdebt lvl'!AH11/'ggdebt lvl'!AH40</f>
        <v>0</v>
      </c>
      <c r="AI11" s="78">
        <f>'ggdebt lvl'!AI11/'ggdebt lvl'!AI40</f>
        <v>0</v>
      </c>
      <c r="AJ11" s="78">
        <f>'ggdebt lvl'!AJ11/'ggdebt lvl'!AJ40</f>
        <v>6.0566525684687574E-3</v>
      </c>
      <c r="AK11" s="78">
        <f>'ggdebt lvl'!AK11/'ggdebt lvl'!AK40</f>
        <v>0</v>
      </c>
      <c r="AL11" s="78">
        <f>'ggdebt lvl'!AL11/'ggdebt lvl'!AL40</f>
        <v>0</v>
      </c>
      <c r="AM11" s="78">
        <f>'ggdebt lvl'!AM11/'ggdebt lvl'!AM40</f>
        <v>0</v>
      </c>
      <c r="AN11" s="78">
        <f>'ggdebt lvl'!AN11/'ggdebt lvl'!AN40</f>
        <v>7.1962275859998905E-3</v>
      </c>
      <c r="AO11" s="78">
        <f>'ggdebt lvl'!AO11/'ggdebt lvl'!AO40</f>
        <v>6.7051014848902857E-3</v>
      </c>
      <c r="AP11" s="78">
        <f>'ggdebt lvl'!AP11/'ggdebt lvl'!AP40</f>
        <v>6.958825922625137E-3</v>
      </c>
      <c r="AQ11" s="78">
        <f>'ggdebt lvl'!AQ11/'ggdebt lvl'!AQ40</f>
        <v>6.8474929462117827E-3</v>
      </c>
      <c r="AR11" s="78">
        <f>'ggdebt lvl'!AR11/'ggdebt lvl'!AR40</f>
        <v>6.8651911761673547E-3</v>
      </c>
      <c r="AS11" s="78">
        <f>'ggdebt lvl'!AS11/'ggdebt lvl'!AS40</f>
        <v>6.6424897698116412E-3</v>
      </c>
      <c r="AT11" s="78">
        <f>'ggdebt lvl'!AT11/'ggdebt lvl'!AT40</f>
        <v>6.459014245735732E-3</v>
      </c>
      <c r="AU11" s="78">
        <f>'ggdebt lvl'!AU11/'ggdebt lvl'!AU40</f>
        <v>6.4373310925804348E-3</v>
      </c>
      <c r="AV11" s="78">
        <f>'ggdebt lvl'!AV11/'ggdebt lvl'!AV40</f>
        <v>6.1809192250791281E-3</v>
      </c>
      <c r="AW11" s="78">
        <f>'ggdebt lvl'!AW11/'ggdebt lvl'!AW40</f>
        <v>6.0096184805974832E-3</v>
      </c>
      <c r="AX11" s="78">
        <f>'ggdebt lvl'!AX11/'ggdebt lvl'!AX40</f>
        <v>6.2085082883155266E-3</v>
      </c>
      <c r="AY11" s="78">
        <f>'ggdebt lvl'!AY11/'ggdebt lvl'!AY40</f>
        <v>6.3669019523184909E-3</v>
      </c>
    </row>
    <row r="12" spans="1:56" ht="14.1" customHeight="1">
      <c r="A12" s="11" t="s">
        <v>14</v>
      </c>
      <c r="B12" s="12" t="s">
        <v>15</v>
      </c>
      <c r="C12" s="12"/>
      <c r="D12" s="12"/>
      <c r="E12" s="76">
        <f>'ggdebt lvl'!E12/'ggdebt lvl'!E40</f>
        <v>0.67934762572974128</v>
      </c>
      <c r="F12" s="76">
        <f>'ggdebt lvl'!F12/'ggdebt lvl'!F40</f>
        <v>0.66193984835180919</v>
      </c>
      <c r="G12" s="76">
        <f>'ggdebt lvl'!G12/'ggdebt lvl'!G40</f>
        <v>0.67409663478394444</v>
      </c>
      <c r="H12" s="76">
        <f>'ggdebt lvl'!H12/'ggdebt lvl'!H40</f>
        <v>0.66343655958917547</v>
      </c>
      <c r="I12" s="76">
        <f>'ggdebt lvl'!I12/'ggdebt lvl'!I40</f>
        <v>0.65640005669941137</v>
      </c>
      <c r="J12" s="76">
        <f>'ggdebt lvl'!J12/'ggdebt lvl'!J40</f>
        <v>0.64719082038335474</v>
      </c>
      <c r="K12" s="76">
        <f>'ggdebt lvl'!K12/'ggdebt lvl'!K40</f>
        <v>0.64942973962553507</v>
      </c>
      <c r="L12" s="76">
        <f>'ggdebt lvl'!L12/'ggdebt lvl'!L40</f>
        <v>0.60247550173924536</v>
      </c>
      <c r="M12" s="76">
        <f>'ggdebt lvl'!M12/'ggdebt lvl'!M40</f>
        <v>0.5962160187792267</v>
      </c>
      <c r="N12" s="76">
        <f>'ggdebt lvl'!N12/'ggdebt lvl'!N40</f>
        <v>0.58280058016986247</v>
      </c>
      <c r="O12" s="76">
        <f>'ggdebt lvl'!O12/'ggdebt lvl'!O40</f>
        <v>0.55719157260177488</v>
      </c>
      <c r="P12" s="76">
        <f>'ggdebt lvl'!P12/'ggdebt lvl'!P40</f>
        <v>0.53262507381014379</v>
      </c>
      <c r="Q12" s="76">
        <f>'ggdebt lvl'!Q12/'ggdebt lvl'!Q40</f>
        <v>0.52745093898010775</v>
      </c>
      <c r="R12" s="76">
        <f>'ggdebt lvl'!R12/'ggdebt lvl'!R40</f>
        <v>0.4901513737457458</v>
      </c>
      <c r="S12" s="76">
        <f>'ggdebt lvl'!S12/'ggdebt lvl'!S40</f>
        <v>0.48966946106248477</v>
      </c>
      <c r="T12" s="76">
        <f>'ggdebt lvl'!T12/'ggdebt lvl'!T40</f>
        <v>0.46108504609427831</v>
      </c>
      <c r="U12" s="76">
        <f>'ggdebt lvl'!U12/'ggdebt lvl'!U40</f>
        <v>0.46265852440254979</v>
      </c>
      <c r="V12" s="76">
        <f>'ggdebt lvl'!V12/'ggdebt lvl'!V40</f>
        <v>0.46180006144918118</v>
      </c>
      <c r="W12" s="76">
        <f>'ggdebt lvl'!W12/'ggdebt lvl'!W40</f>
        <v>0.46258243253850528</v>
      </c>
      <c r="X12" s="76">
        <f>'ggdebt lvl'!X12/'ggdebt lvl'!X40</f>
        <v>0.46693115300114502</v>
      </c>
      <c r="Y12" s="76">
        <f>'ggdebt lvl'!Y12/'ggdebt lvl'!Y40</f>
        <v>0.46360808262836017</v>
      </c>
      <c r="Z12" s="76">
        <f>'ggdebt lvl'!Z12/'ggdebt lvl'!Z40</f>
        <v>0.46041795169455924</v>
      </c>
      <c r="AA12" s="76">
        <f>'ggdebt lvl'!AA12/'ggdebt lvl'!AA40</f>
        <v>0.47078340800217833</v>
      </c>
      <c r="AB12" s="76">
        <f>'ggdebt lvl'!AB12/'ggdebt lvl'!AB40</f>
        <v>0.47056583467301788</v>
      </c>
      <c r="AC12" s="76">
        <f>'ggdebt lvl'!AC12/'ggdebt lvl'!AC40</f>
        <v>0.45535305685808042</v>
      </c>
      <c r="AD12" s="76">
        <f>'ggdebt lvl'!AD12/'ggdebt lvl'!AD40</f>
        <v>0.45709401638385022</v>
      </c>
      <c r="AE12" s="76">
        <f>'ggdebt lvl'!AE12/'ggdebt lvl'!AE40</f>
        <v>0.45845649110003756</v>
      </c>
      <c r="AF12" s="76">
        <f>'ggdebt lvl'!AF12/'ggdebt lvl'!AF40</f>
        <v>0.44922995108558028</v>
      </c>
      <c r="AG12" s="76">
        <f>'ggdebt lvl'!AG12/'ggdebt lvl'!AG40</f>
        <v>0.46246731945212305</v>
      </c>
      <c r="AH12" s="76">
        <f>'ggdebt lvl'!AH12/'ggdebt lvl'!AH40</f>
        <v>0.46416300987838044</v>
      </c>
      <c r="AI12" s="76">
        <f>'ggdebt lvl'!AI12/'ggdebt lvl'!AI40</f>
        <v>0.46569081966219172</v>
      </c>
      <c r="AJ12" s="76">
        <f>'ggdebt lvl'!AJ12/'ggdebt lvl'!AJ40</f>
        <v>0.44935425415102259</v>
      </c>
      <c r="AK12" s="76">
        <f>'ggdebt lvl'!AK12/'ggdebt lvl'!AK40</f>
        <v>0.4614358475042033</v>
      </c>
      <c r="AL12" s="76">
        <f>'ggdebt lvl'!AL12/'ggdebt lvl'!AL40</f>
        <v>0.44870148763375178</v>
      </c>
      <c r="AM12" s="76">
        <f>'ggdebt lvl'!AM12/'ggdebt lvl'!AM40</f>
        <v>0.43866438501164551</v>
      </c>
      <c r="AN12" s="76">
        <f>'ggdebt lvl'!AN12/'ggdebt lvl'!AN40</f>
        <v>0.44239632340327401</v>
      </c>
      <c r="AO12" s="76">
        <f>'ggdebt lvl'!AO12/'ggdebt lvl'!AO40</f>
        <v>0.42090777619490294</v>
      </c>
      <c r="AP12" s="76">
        <f>'ggdebt lvl'!AP12/'ggdebt lvl'!AP40</f>
        <v>0.42619071341156672</v>
      </c>
      <c r="AQ12" s="76">
        <f>'ggdebt lvl'!AQ12/'ggdebt lvl'!AQ40</f>
        <v>0.43191478872832839</v>
      </c>
      <c r="AR12" s="76">
        <f>'ggdebt lvl'!AR12/'ggdebt lvl'!AR40</f>
        <v>0.42740299538583598</v>
      </c>
      <c r="AS12" s="76">
        <f>'ggdebt lvl'!AS12/'ggdebt lvl'!AS40</f>
        <v>0.41595782954545263</v>
      </c>
      <c r="AT12" s="76">
        <f>'ggdebt lvl'!AT12/'ggdebt lvl'!AT40</f>
        <v>0.40721868173426595</v>
      </c>
      <c r="AU12" s="76">
        <f>'ggdebt lvl'!AU12/'ggdebt lvl'!AU40</f>
        <v>0.4060343200101002</v>
      </c>
      <c r="AV12" s="76">
        <f>'ggdebt lvl'!AV12/'ggdebt lvl'!AV40</f>
        <v>0.39732457990105935</v>
      </c>
      <c r="AW12" s="76">
        <f>'ggdebt lvl'!AW12/'ggdebt lvl'!AW40</f>
        <v>0.39609661101149879</v>
      </c>
      <c r="AX12" s="76">
        <f>'ggdebt lvl'!AX12/'ggdebt lvl'!AX40</f>
        <v>0.39416820706533467</v>
      </c>
      <c r="AY12" s="76">
        <f>'ggdebt lvl'!AY12/'ggdebt lvl'!AY40</f>
        <v>0.4001682395675476</v>
      </c>
    </row>
    <row r="13" spans="1:56" ht="14.1" customHeight="1">
      <c r="A13" s="31"/>
      <c r="B13" s="2"/>
      <c r="C13" s="2" t="s">
        <v>10</v>
      </c>
      <c r="D13" s="2"/>
      <c r="E13" s="75">
        <f>'ggdebt lvl'!E13/'ggdebt lvl'!E40</f>
        <v>0.31530517915483908</v>
      </c>
      <c r="F13" s="75">
        <f>'ggdebt lvl'!F13/'ggdebt lvl'!F40</f>
        <v>0.30848043532127328</v>
      </c>
      <c r="G13" s="75">
        <f>'ggdebt lvl'!G13/'ggdebt lvl'!G40</f>
        <v>0.31781139344929044</v>
      </c>
      <c r="H13" s="75">
        <f>'ggdebt lvl'!H13/'ggdebt lvl'!H40</f>
        <v>0.31041363282611734</v>
      </c>
      <c r="I13" s="75">
        <f>'ggdebt lvl'!I13/'ggdebt lvl'!I40</f>
        <v>0.31176493706117336</v>
      </c>
      <c r="J13" s="75">
        <f>'ggdebt lvl'!J13/'ggdebt lvl'!J40</f>
        <v>0.3031977458107124</v>
      </c>
      <c r="K13" s="75">
        <f>'ggdebt lvl'!K13/'ggdebt lvl'!K40</f>
        <v>0.31054488317719758</v>
      </c>
      <c r="L13" s="75">
        <f>'ggdebt lvl'!L13/'ggdebt lvl'!L40</f>
        <v>0.2995297890889877</v>
      </c>
      <c r="M13" s="75">
        <f>'ggdebt lvl'!M13/'ggdebt lvl'!M40</f>
        <v>0.29269584408682991</v>
      </c>
      <c r="N13" s="75">
        <f>'ggdebt lvl'!N13/'ggdebt lvl'!N40</f>
        <v>0.27592512032045952</v>
      </c>
      <c r="O13" s="75">
        <f>'ggdebt lvl'!O13/'ggdebt lvl'!O40</f>
        <v>0.26915200692316732</v>
      </c>
      <c r="P13" s="75">
        <f>'ggdebt lvl'!P13/'ggdebt lvl'!P40</f>
        <v>0.26256394952319001</v>
      </c>
      <c r="Q13" s="75">
        <f>'ggdebt lvl'!Q13/'ggdebt lvl'!Q40</f>
        <v>0.25433442977013226</v>
      </c>
      <c r="R13" s="75">
        <f>'ggdebt lvl'!R13/'ggdebt lvl'!R40</f>
        <v>0.23746994250824344</v>
      </c>
      <c r="S13" s="75">
        <f>'ggdebt lvl'!S13/'ggdebt lvl'!S40</f>
        <v>0.2477645429974272</v>
      </c>
      <c r="T13" s="75">
        <f>'ggdebt lvl'!T13/'ggdebt lvl'!T40</f>
        <v>0.24231984001673648</v>
      </c>
      <c r="U13" s="75">
        <f>'ggdebt lvl'!U13/'ggdebt lvl'!U40</f>
        <v>0.23625528838860033</v>
      </c>
      <c r="V13" s="75">
        <f>'ggdebt lvl'!V13/'ggdebt lvl'!V40</f>
        <v>0.23339524361293629</v>
      </c>
      <c r="W13" s="75">
        <f>'ggdebt lvl'!W13/'ggdebt lvl'!W40</f>
        <v>0.23261978231918806</v>
      </c>
      <c r="X13" s="75">
        <f>'ggdebt lvl'!X13/'ggdebt lvl'!X40</f>
        <v>0.2333178476662639</v>
      </c>
      <c r="Y13" s="75">
        <f>'ggdebt lvl'!Y13/'ggdebt lvl'!Y40</f>
        <v>0.22833902890539071</v>
      </c>
      <c r="Z13" s="75">
        <f>'ggdebt lvl'!Z13/'ggdebt lvl'!Z40</f>
        <v>0.22553502194026526</v>
      </c>
      <c r="AA13" s="75">
        <f>'ggdebt lvl'!AA13/'ggdebt lvl'!AA40</f>
        <v>0.22893664556941987</v>
      </c>
      <c r="AB13" s="75">
        <f>'ggdebt lvl'!AB13/'ggdebt lvl'!AB40</f>
        <v>0.23100705407317063</v>
      </c>
      <c r="AC13" s="75">
        <f>'ggdebt lvl'!AC13/'ggdebt lvl'!AC40</f>
        <v>0.22296483848222029</v>
      </c>
      <c r="AD13" s="75">
        <f>'ggdebt lvl'!AD13/'ggdebt lvl'!AD40</f>
        <v>0.22460589467524866</v>
      </c>
      <c r="AE13" s="75">
        <f>'ggdebt lvl'!AE13/'ggdebt lvl'!AE40</f>
        <v>0.23430948493106948</v>
      </c>
      <c r="AF13" s="75">
        <f>'ggdebt lvl'!AF13/'ggdebt lvl'!AF40</f>
        <v>0.23358935767058961</v>
      </c>
      <c r="AG13" s="75">
        <f>'ggdebt lvl'!AG13/'ggdebt lvl'!AG40</f>
        <v>0.24067859250726539</v>
      </c>
      <c r="AH13" s="75">
        <f>'ggdebt lvl'!AH13/'ggdebt lvl'!AH40</f>
        <v>0.24530025985981546</v>
      </c>
      <c r="AI13" s="75">
        <f>'ggdebt lvl'!AI13/'ggdebt lvl'!AI40</f>
        <v>0.24622431350459528</v>
      </c>
      <c r="AJ13" s="75">
        <f>'ggdebt lvl'!AJ13/'ggdebt lvl'!AJ40</f>
        <v>0.241385388641362</v>
      </c>
      <c r="AK13" s="75">
        <f>'ggdebt lvl'!AK13/'ggdebt lvl'!AK40</f>
        <v>0.25156858411930477</v>
      </c>
      <c r="AL13" s="75">
        <f>'ggdebt lvl'!AL13/'ggdebt lvl'!AL40</f>
        <v>0.24519005552571344</v>
      </c>
      <c r="AM13" s="75">
        <f>'ggdebt lvl'!AM13/'ggdebt lvl'!AM40</f>
        <v>0.24182128101752767</v>
      </c>
      <c r="AN13" s="75">
        <f>'ggdebt lvl'!AN13/'ggdebt lvl'!AN40</f>
        <v>0.2631791044214058</v>
      </c>
      <c r="AO13" s="75">
        <f>'ggdebt lvl'!AO13/'ggdebt lvl'!AO40</f>
        <v>0.25370605135747581</v>
      </c>
      <c r="AP13" s="75">
        <f>'ggdebt lvl'!AP13/'ggdebt lvl'!AP40</f>
        <v>0.2561834833121317</v>
      </c>
      <c r="AQ13" s="75">
        <f>'ggdebt lvl'!AQ13/'ggdebt lvl'!AQ40</f>
        <v>0.26714442489808476</v>
      </c>
      <c r="AR13" s="75">
        <f>'ggdebt lvl'!AR13/'ggdebt lvl'!AR40</f>
        <v>0.26552076512399708</v>
      </c>
      <c r="AS13" s="75">
        <f>'ggdebt lvl'!AS13/'ggdebt lvl'!AS40</f>
        <v>0.25577234888654582</v>
      </c>
      <c r="AT13" s="75">
        <f>'ggdebt lvl'!AT13/'ggdebt lvl'!AT40</f>
        <v>0.25475239965655805</v>
      </c>
      <c r="AU13" s="75">
        <f>'ggdebt lvl'!AU13/'ggdebt lvl'!AU40</f>
        <v>0.25314086182230106</v>
      </c>
      <c r="AV13" s="75">
        <f>'ggdebt lvl'!AV13/'ggdebt lvl'!AV40</f>
        <v>0.25206367514120359</v>
      </c>
      <c r="AW13" s="75">
        <f>'ggdebt lvl'!AW13/'ggdebt lvl'!AW40</f>
        <v>0.25105780960438284</v>
      </c>
      <c r="AX13" s="75">
        <f>'ggdebt lvl'!AX13/'ggdebt lvl'!AX40</f>
        <v>0.24789932195406797</v>
      </c>
      <c r="AY13" s="75">
        <f>'ggdebt lvl'!AY13/'ggdebt lvl'!AY40</f>
        <v>0.24985283799636759</v>
      </c>
    </row>
    <row r="14" spans="1:56" ht="14.1" customHeight="1">
      <c r="A14" s="2"/>
      <c r="B14" s="2"/>
      <c r="C14" s="2" t="s">
        <v>11</v>
      </c>
      <c r="D14" s="2"/>
      <c r="E14" s="75">
        <f>'ggdebt lvl'!E14/'ggdebt lvl'!E40</f>
        <v>0.36404244657490231</v>
      </c>
      <c r="F14" s="75">
        <f>'ggdebt lvl'!F14/'ggdebt lvl'!F40</f>
        <v>0.3534594130305358</v>
      </c>
      <c r="G14" s="75">
        <f>'ggdebt lvl'!G14/'ggdebt lvl'!G40</f>
        <v>0.35628524133465395</v>
      </c>
      <c r="H14" s="75">
        <f>'ggdebt lvl'!H14/'ggdebt lvl'!H40</f>
        <v>0.35302292676305819</v>
      </c>
      <c r="I14" s="75">
        <f>'ggdebt lvl'!I14/'ggdebt lvl'!I40</f>
        <v>0.34463511963823795</v>
      </c>
      <c r="J14" s="75">
        <f>'ggdebt lvl'!J14/'ggdebt lvl'!J40</f>
        <v>0.34399307457264233</v>
      </c>
      <c r="K14" s="75">
        <f>'ggdebt lvl'!K14/'ggdebt lvl'!K40</f>
        <v>0.33888485644833755</v>
      </c>
      <c r="L14" s="75">
        <f>'ggdebt lvl'!L14/'ggdebt lvl'!L40</f>
        <v>0.3029457126502576</v>
      </c>
      <c r="M14" s="75">
        <f>'ggdebt lvl'!M14/'ggdebt lvl'!M40</f>
        <v>0.30352017469239684</v>
      </c>
      <c r="N14" s="75">
        <f>'ggdebt lvl'!N14/'ggdebt lvl'!N40</f>
        <v>0.30687545984940295</v>
      </c>
      <c r="O14" s="75">
        <f>'ggdebt lvl'!O14/'ggdebt lvl'!O40</f>
        <v>0.2880395656786075</v>
      </c>
      <c r="P14" s="75">
        <f>'ggdebt lvl'!P14/'ggdebt lvl'!P40</f>
        <v>0.27006112428695372</v>
      </c>
      <c r="Q14" s="75">
        <f>'ggdebt lvl'!Q14/'ggdebt lvl'!Q40</f>
        <v>0.27311650920997549</v>
      </c>
      <c r="R14" s="75">
        <f>'ggdebt lvl'!R14/'ggdebt lvl'!R40</f>
        <v>0.25268143123750236</v>
      </c>
      <c r="S14" s="75">
        <f>'ggdebt lvl'!S14/'ggdebt lvl'!S40</f>
        <v>0.24190491806505759</v>
      </c>
      <c r="T14" s="75">
        <f>'ggdebt lvl'!T14/'ggdebt lvl'!T40</f>
        <v>0.21876520607754182</v>
      </c>
      <c r="U14" s="75">
        <f>'ggdebt lvl'!U14/'ggdebt lvl'!U40</f>
        <v>0.22640323601394949</v>
      </c>
      <c r="V14" s="75">
        <f>'ggdebt lvl'!V14/'ggdebt lvl'!V40</f>
        <v>0.22840481783624486</v>
      </c>
      <c r="W14" s="75">
        <f>'ggdebt lvl'!W14/'ggdebt lvl'!W40</f>
        <v>0.22996265021931719</v>
      </c>
      <c r="X14" s="75">
        <f>'ggdebt lvl'!X14/'ggdebt lvl'!X40</f>
        <v>0.23361330533488114</v>
      </c>
      <c r="Y14" s="75">
        <f>'ggdebt lvl'!Y14/'ggdebt lvl'!Y40</f>
        <v>0.23526905372296947</v>
      </c>
      <c r="Z14" s="75">
        <f>'ggdebt lvl'!Z14/'ggdebt lvl'!Z40</f>
        <v>0.23488292975429395</v>
      </c>
      <c r="AA14" s="75">
        <f>'ggdebt lvl'!AA14/'ggdebt lvl'!AA40</f>
        <v>0.24184676243275846</v>
      </c>
      <c r="AB14" s="75">
        <f>'ggdebt lvl'!AB14/'ggdebt lvl'!AB40</f>
        <v>0.23955878059984725</v>
      </c>
      <c r="AC14" s="75">
        <f>'ggdebt lvl'!AC14/'ggdebt lvl'!AC40</f>
        <v>0.2323882183758601</v>
      </c>
      <c r="AD14" s="75">
        <f>'ggdebt lvl'!AD14/'ggdebt lvl'!AD40</f>
        <v>0.23248812170860153</v>
      </c>
      <c r="AE14" s="75">
        <f>'ggdebt lvl'!AE14/'ggdebt lvl'!AE40</f>
        <v>0.22414700616896813</v>
      </c>
      <c r="AF14" s="75">
        <f>'ggdebt lvl'!AF14/'ggdebt lvl'!AF40</f>
        <v>0.21564059341499064</v>
      </c>
      <c r="AG14" s="75">
        <f>'ggdebt lvl'!AG14/'ggdebt lvl'!AG40</f>
        <v>0.22178872694485757</v>
      </c>
      <c r="AH14" s="75">
        <f>'ggdebt lvl'!AH14/'ggdebt lvl'!AH40</f>
        <v>0.21886275001856492</v>
      </c>
      <c r="AI14" s="75">
        <f>'ggdebt lvl'!AI14/'ggdebt lvl'!AI40</f>
        <v>0.21946650615759644</v>
      </c>
      <c r="AJ14" s="75">
        <f>'ggdebt lvl'!AJ14/'ggdebt lvl'!AJ40</f>
        <v>0.20796886550966062</v>
      </c>
      <c r="AK14" s="75">
        <f>'ggdebt lvl'!AK14/'ggdebt lvl'!AK40</f>
        <v>0.20986726338489853</v>
      </c>
      <c r="AL14" s="75">
        <f>'ggdebt lvl'!AL14/'ggdebt lvl'!AL40</f>
        <v>0.20351143210803832</v>
      </c>
      <c r="AM14" s="75">
        <f>'ggdebt lvl'!AM14/'ggdebt lvl'!AM40</f>
        <v>0.19684310399411781</v>
      </c>
      <c r="AN14" s="75">
        <f>'ggdebt lvl'!AN14/'ggdebt lvl'!AN40</f>
        <v>0.17921721898186826</v>
      </c>
      <c r="AO14" s="75">
        <f>'ggdebt lvl'!AO14/'ggdebt lvl'!AO40</f>
        <v>0.16720172483742712</v>
      </c>
      <c r="AP14" s="75">
        <f>'ggdebt lvl'!AP14/'ggdebt lvl'!AP40</f>
        <v>0.17000723009943497</v>
      </c>
      <c r="AQ14" s="75">
        <f>'ggdebt lvl'!AQ14/'ggdebt lvl'!AQ40</f>
        <v>0.16477036383024363</v>
      </c>
      <c r="AR14" s="75">
        <f>'ggdebt lvl'!AR14/'ggdebt lvl'!AR40</f>
        <v>0.16188223026183896</v>
      </c>
      <c r="AS14" s="75">
        <f>'ggdebt lvl'!AS14/'ggdebt lvl'!AS40</f>
        <v>0.16018548065890678</v>
      </c>
      <c r="AT14" s="75">
        <f>'ggdebt lvl'!AT14/'ggdebt lvl'!AT40</f>
        <v>0.15246628207770788</v>
      </c>
      <c r="AU14" s="75">
        <f>'ggdebt lvl'!AU14/'ggdebt lvl'!AU40</f>
        <v>0.1528934581877992</v>
      </c>
      <c r="AV14" s="75">
        <f>'ggdebt lvl'!AV14/'ggdebt lvl'!AV40</f>
        <v>0.14526090475985576</v>
      </c>
      <c r="AW14" s="75">
        <f>'ggdebt lvl'!AW14/'ggdebt lvl'!AW40</f>
        <v>0.14503880140711597</v>
      </c>
      <c r="AX14" s="75">
        <f>'ggdebt lvl'!AX14/'ggdebt lvl'!AX40</f>
        <v>0.14626888511126673</v>
      </c>
      <c r="AY14" s="75">
        <f>'ggdebt lvl'!AY14/'ggdebt lvl'!AY40</f>
        <v>0.15031540157118001</v>
      </c>
    </row>
    <row r="15" spans="1:56" ht="14.1" customHeight="1">
      <c r="A15" s="2"/>
      <c r="B15" s="2"/>
      <c r="C15" s="2"/>
      <c r="D15" s="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6" ht="14.1" customHeight="1">
      <c r="A16" s="11" t="s">
        <v>16</v>
      </c>
      <c r="B16" s="12" t="s">
        <v>17</v>
      </c>
      <c r="C16" s="12"/>
      <c r="D16" s="12"/>
      <c r="E16" s="76">
        <f>'ggdebt lvl'!E16/'ggdebt lvl'!E40</f>
        <v>1.2494456643993358E-2</v>
      </c>
      <c r="F16" s="76">
        <f>'ggdebt lvl'!F16/'ggdebt lvl'!F40</f>
        <v>1.1633958534971046E-2</v>
      </c>
      <c r="G16" s="76">
        <f>'ggdebt lvl'!G16/'ggdebt lvl'!G40</f>
        <v>1.0695550918060522E-2</v>
      </c>
      <c r="H16" s="76">
        <f>'ggdebt lvl'!H16/'ggdebt lvl'!H40</f>
        <v>9.4698716027056297E-3</v>
      </c>
      <c r="I16" s="76">
        <f>'ggdebt lvl'!I16/'ggdebt lvl'!I40</f>
        <v>8.3911284499216567E-3</v>
      </c>
      <c r="J16" s="76">
        <f>'ggdebt lvl'!J16/'ggdebt lvl'!J40</f>
        <v>8.0736786974507993E-3</v>
      </c>
      <c r="K16" s="76">
        <f>'ggdebt lvl'!K16/'ggdebt lvl'!K40</f>
        <v>7.7594889989867962E-3</v>
      </c>
      <c r="L16" s="76">
        <f>'ggdebt lvl'!L16/'ggdebt lvl'!L40</f>
        <v>6.8777218440332875E-3</v>
      </c>
      <c r="M16" s="76">
        <f>'ggdebt lvl'!M16/'ggdebt lvl'!M40</f>
        <v>6.4264470319765907E-3</v>
      </c>
      <c r="N16" s="76">
        <f>'ggdebt lvl'!N16/'ggdebt lvl'!N40</f>
        <v>2.6317878635850837E-3</v>
      </c>
      <c r="O16" s="76">
        <f>'ggdebt lvl'!O16/'ggdebt lvl'!O40</f>
        <v>2.3814564585750626E-3</v>
      </c>
      <c r="P16" s="76">
        <f>'ggdebt lvl'!P16/'ggdebt lvl'!P40</f>
        <v>1.2088538875378179E-3</v>
      </c>
      <c r="Q16" s="76">
        <f>'ggdebt lvl'!Q16/'ggdebt lvl'!Q40</f>
        <v>1.1358552327180862E-3</v>
      </c>
      <c r="R16" s="76">
        <f>'ggdebt lvl'!R16/'ggdebt lvl'!R40</f>
        <v>2.8386019967887926E-4</v>
      </c>
      <c r="S16" s="76">
        <f>'ggdebt lvl'!S16/'ggdebt lvl'!S40</f>
        <v>2.6226692516692109E-4</v>
      </c>
      <c r="T16" s="76">
        <f>'ggdebt lvl'!T16/'ggdebt lvl'!T40</f>
        <v>2.3833510238699637E-4</v>
      </c>
      <c r="U16" s="76">
        <f>'ggdebt lvl'!U16/'ggdebt lvl'!U40</f>
        <v>2.3504297001449007E-4</v>
      </c>
      <c r="V16" s="76">
        <f>'ggdebt lvl'!V16/'ggdebt lvl'!V40</f>
        <v>2.2648589884169672E-4</v>
      </c>
      <c r="W16" s="76">
        <f>'ggdebt lvl'!W16/'ggdebt lvl'!W40</f>
        <v>2.0266043078370148E-4</v>
      </c>
      <c r="X16" s="76">
        <f>'ggdebt lvl'!X16/'ggdebt lvl'!X40</f>
        <v>2.2413651989799637E-4</v>
      </c>
      <c r="Y16" s="76">
        <f>'ggdebt lvl'!Y16/'ggdebt lvl'!Y40</f>
        <v>1.7989058664861349E-4</v>
      </c>
      <c r="Z16" s="76">
        <f>'ggdebt lvl'!Z16/'ggdebt lvl'!Z40</f>
        <v>1.8237447120186085E-4</v>
      </c>
      <c r="AA16" s="76">
        <f>'ggdebt lvl'!AA16/'ggdebt lvl'!AA40</f>
        <v>1.6000762040026723E-4</v>
      </c>
      <c r="AB16" s="76">
        <f>'ggdebt lvl'!AB16/'ggdebt lvl'!AB40</f>
        <v>1.4873005548742403E-4</v>
      </c>
      <c r="AC16" s="76">
        <f>'ggdebt lvl'!AC16/'ggdebt lvl'!AC40</f>
        <v>1.107732118229878E-4</v>
      </c>
      <c r="AD16" s="76">
        <f>'ggdebt lvl'!AD16/'ggdebt lvl'!AD40</f>
        <v>1.1750423882270332E-4</v>
      </c>
      <c r="AE16" s="76">
        <f>'ggdebt lvl'!AE16/'ggdebt lvl'!AE40</f>
        <v>8.6097813686899203E-5</v>
      </c>
      <c r="AF16" s="76">
        <f>'ggdebt lvl'!AF16/'ggdebt lvl'!AF40</f>
        <v>8.5997987266034912E-5</v>
      </c>
      <c r="AG16" s="76">
        <f>'ggdebt lvl'!AG16/'ggdebt lvl'!AG40</f>
        <v>5.4281770492876773E-5</v>
      </c>
      <c r="AH16" s="76">
        <f>'ggdebt lvl'!AH16/'ggdebt lvl'!AH40</f>
        <v>5.4968556075302815E-5</v>
      </c>
      <c r="AI16" s="76">
        <f>'ggdebt lvl'!AI16/'ggdebt lvl'!AI40</f>
        <v>2.8522161930746019E-5</v>
      </c>
      <c r="AJ16" s="76">
        <f>'ggdebt lvl'!AJ16/'ggdebt lvl'!AJ40</f>
        <v>2.811932995396841E-5</v>
      </c>
      <c r="AK16" s="76">
        <f>'ggdebt lvl'!AK16/'ggdebt lvl'!AK40</f>
        <v>0</v>
      </c>
      <c r="AL16" s="76">
        <f>'ggdebt lvl'!AL16/'ggdebt lvl'!AL40</f>
        <v>0</v>
      </c>
      <c r="AM16" s="76">
        <f>'ggdebt lvl'!AM16/'ggdebt lvl'!AM40</f>
        <v>0</v>
      </c>
      <c r="AN16" s="76">
        <f>'ggdebt lvl'!AN16/'ggdebt lvl'!AN40</f>
        <v>0</v>
      </c>
      <c r="AO16" s="76">
        <f>'ggdebt lvl'!AO16/'ggdebt lvl'!AO40</f>
        <v>0</v>
      </c>
      <c r="AP16" s="76">
        <f>'ggdebt lvl'!AP16/'ggdebt lvl'!AP40</f>
        <v>0</v>
      </c>
      <c r="AQ16" s="76">
        <f>'ggdebt lvl'!AQ16/'ggdebt lvl'!AQ40</f>
        <v>0</v>
      </c>
      <c r="AR16" s="76">
        <f>'ggdebt lvl'!AR16/'ggdebt lvl'!AR40</f>
        <v>0</v>
      </c>
      <c r="AS16" s="76">
        <f>'ggdebt lvl'!AS16/'ggdebt lvl'!AS40</f>
        <v>0</v>
      </c>
      <c r="AT16" s="76">
        <f>'ggdebt lvl'!AT16/'ggdebt lvl'!AT40</f>
        <v>0</v>
      </c>
      <c r="AU16" s="76">
        <f>'ggdebt lvl'!AU16/'ggdebt lvl'!AU40</f>
        <v>0</v>
      </c>
      <c r="AV16" s="76">
        <f>'ggdebt lvl'!AV16/'ggdebt lvl'!AV40</f>
        <v>0</v>
      </c>
      <c r="AW16" s="76">
        <f>'ggdebt lvl'!AW16/'ggdebt lvl'!AW40</f>
        <v>0</v>
      </c>
      <c r="AX16" s="76">
        <f>'ggdebt lvl'!AX16/'ggdebt lvl'!AX40</f>
        <v>0</v>
      </c>
      <c r="AY16" s="76">
        <f>'ggdebt lvl'!AY16/'ggdebt lvl'!AY40</f>
        <v>0</v>
      </c>
    </row>
    <row r="17" spans="1:51" ht="14.1" customHeight="1">
      <c r="A17" s="2"/>
      <c r="B17" s="2"/>
      <c r="C17" s="2" t="s">
        <v>10</v>
      </c>
      <c r="D17" s="2"/>
      <c r="E17" s="75">
        <f>'ggdebt lvl'!E17/'ggdebt lvl'!E40</f>
        <v>0</v>
      </c>
      <c r="F17" s="75">
        <f>'ggdebt lvl'!F17/'ggdebt lvl'!F40</f>
        <v>0</v>
      </c>
      <c r="G17" s="75">
        <f>'ggdebt lvl'!G17/'ggdebt lvl'!G40</f>
        <v>0</v>
      </c>
      <c r="H17" s="75">
        <f>'ggdebt lvl'!H17/'ggdebt lvl'!H40</f>
        <v>0</v>
      </c>
      <c r="I17" s="75">
        <f>'ggdebt lvl'!I17/'ggdebt lvl'!I40</f>
        <v>0</v>
      </c>
      <c r="J17" s="75">
        <f>'ggdebt lvl'!J17/'ggdebt lvl'!J40</f>
        <v>0</v>
      </c>
      <c r="K17" s="75">
        <f>'ggdebt lvl'!K17/'ggdebt lvl'!K40</f>
        <v>0</v>
      </c>
      <c r="L17" s="75">
        <f>'ggdebt lvl'!L17/'ggdebt lvl'!L40</f>
        <v>0</v>
      </c>
      <c r="M17" s="75">
        <f>'ggdebt lvl'!M17/'ggdebt lvl'!M40</f>
        <v>0</v>
      </c>
      <c r="N17" s="75">
        <f>'ggdebt lvl'!N17/'ggdebt lvl'!N40</f>
        <v>0</v>
      </c>
      <c r="O17" s="75">
        <f>'ggdebt lvl'!O17/'ggdebt lvl'!O40</f>
        <v>0</v>
      </c>
      <c r="P17" s="75">
        <f>'ggdebt lvl'!P17/'ggdebt lvl'!P40</f>
        <v>0</v>
      </c>
      <c r="Q17" s="75">
        <f>'ggdebt lvl'!Q17/'ggdebt lvl'!Q40</f>
        <v>0</v>
      </c>
      <c r="R17" s="75">
        <f>'ggdebt lvl'!R17/'ggdebt lvl'!R40</f>
        <v>0</v>
      </c>
      <c r="S17" s="75">
        <f>'ggdebt lvl'!S17/'ggdebt lvl'!S40</f>
        <v>0</v>
      </c>
      <c r="T17" s="75">
        <f>'ggdebt lvl'!T17/'ggdebt lvl'!T40</f>
        <v>0</v>
      </c>
      <c r="U17" s="75">
        <f>'ggdebt lvl'!U17/'ggdebt lvl'!U40</f>
        <v>0</v>
      </c>
      <c r="V17" s="75">
        <f>'ggdebt lvl'!V17/'ggdebt lvl'!V40</f>
        <v>0</v>
      </c>
      <c r="W17" s="75">
        <f>'ggdebt lvl'!W17/'ggdebt lvl'!W40</f>
        <v>0</v>
      </c>
      <c r="X17" s="75">
        <f>'ggdebt lvl'!X17/'ggdebt lvl'!X40</f>
        <v>0</v>
      </c>
      <c r="Y17" s="75">
        <f>'ggdebt lvl'!Y17/'ggdebt lvl'!Y40</f>
        <v>0</v>
      </c>
      <c r="Z17" s="75">
        <f>'ggdebt lvl'!Z17/'ggdebt lvl'!Z40</f>
        <v>0</v>
      </c>
      <c r="AA17" s="75">
        <f>'ggdebt lvl'!AA17/'ggdebt lvl'!AA40</f>
        <v>0</v>
      </c>
      <c r="AB17" s="75">
        <f>'ggdebt lvl'!AB17/'ggdebt lvl'!AB40</f>
        <v>0</v>
      </c>
      <c r="AC17" s="75">
        <f>'ggdebt lvl'!AC17/'ggdebt lvl'!AC40</f>
        <v>0</v>
      </c>
      <c r="AD17" s="75">
        <f>'ggdebt lvl'!AD17/'ggdebt lvl'!AD40</f>
        <v>0</v>
      </c>
      <c r="AE17" s="75">
        <f>'ggdebt lvl'!AE17/'ggdebt lvl'!AE40</f>
        <v>0</v>
      </c>
      <c r="AF17" s="75">
        <f>'ggdebt lvl'!AF17/'ggdebt lvl'!AF40</f>
        <v>0</v>
      </c>
      <c r="AG17" s="75">
        <f>'ggdebt lvl'!AG17/'ggdebt lvl'!AG40</f>
        <v>0</v>
      </c>
      <c r="AH17" s="75">
        <f>'ggdebt lvl'!AH17/'ggdebt lvl'!AH40</f>
        <v>0</v>
      </c>
      <c r="AI17" s="75">
        <f>'ggdebt lvl'!AI17/'ggdebt lvl'!AI40</f>
        <v>0</v>
      </c>
      <c r="AJ17" s="75">
        <f>'ggdebt lvl'!AJ17/'ggdebt lvl'!AJ40</f>
        <v>0</v>
      </c>
      <c r="AK17" s="75">
        <f>'ggdebt lvl'!AK17/'ggdebt lvl'!AK40</f>
        <v>0</v>
      </c>
      <c r="AL17" s="75">
        <f>'ggdebt lvl'!AL17/'ggdebt lvl'!AL40</f>
        <v>0</v>
      </c>
      <c r="AM17" s="75">
        <f>'ggdebt lvl'!AM17/'ggdebt lvl'!AM40</f>
        <v>0</v>
      </c>
      <c r="AN17" s="75">
        <f>'ggdebt lvl'!AN17/'ggdebt lvl'!AN40</f>
        <v>0</v>
      </c>
      <c r="AO17" s="75">
        <f>'ggdebt lvl'!AO17/'ggdebt lvl'!AO40</f>
        <v>0</v>
      </c>
      <c r="AP17" s="75">
        <f>'ggdebt lvl'!AP17/'ggdebt lvl'!AP40</f>
        <v>0</v>
      </c>
      <c r="AQ17" s="75">
        <f>'ggdebt lvl'!AQ17/'ggdebt lvl'!AQ40</f>
        <v>0</v>
      </c>
      <c r="AR17" s="75">
        <f>'ggdebt lvl'!AR17/'ggdebt lvl'!AR40</f>
        <v>0</v>
      </c>
      <c r="AS17" s="75">
        <f>'ggdebt lvl'!AS17/'ggdebt lvl'!AS40</f>
        <v>0</v>
      </c>
      <c r="AT17" s="75">
        <f>'ggdebt lvl'!AT17/'ggdebt lvl'!AT40</f>
        <v>0</v>
      </c>
      <c r="AU17" s="75">
        <f>'ggdebt lvl'!AU17/'ggdebt lvl'!AU40</f>
        <v>0</v>
      </c>
      <c r="AV17" s="75">
        <f>'ggdebt lvl'!AV17/'ggdebt lvl'!AV40</f>
        <v>0</v>
      </c>
      <c r="AW17" s="75">
        <f>'ggdebt lvl'!AW17/'ggdebt lvl'!AW40</f>
        <v>0</v>
      </c>
      <c r="AX17" s="75">
        <f>'ggdebt lvl'!AX17/'ggdebt lvl'!AX40</f>
        <v>0</v>
      </c>
      <c r="AY17" s="75">
        <f>'ggdebt lvl'!AY17/'ggdebt lvl'!AY40</f>
        <v>0</v>
      </c>
    </row>
    <row r="18" spans="1:51" ht="14.1" customHeight="1">
      <c r="A18" s="2"/>
      <c r="B18" s="2"/>
      <c r="C18" s="2" t="s">
        <v>11</v>
      </c>
      <c r="D18" s="2"/>
      <c r="E18" s="75">
        <f>'ggdebt lvl'!E18/'ggdebt lvl'!E40</f>
        <v>1.2494456643993358E-2</v>
      </c>
      <c r="F18" s="75">
        <f>'ggdebt lvl'!F18/'ggdebt lvl'!F40</f>
        <v>1.1633958534971046E-2</v>
      </c>
      <c r="G18" s="75">
        <f>'ggdebt lvl'!G18/'ggdebt lvl'!G40</f>
        <v>1.0695550918060522E-2</v>
      </c>
      <c r="H18" s="75">
        <f>'ggdebt lvl'!H18/'ggdebt lvl'!H40</f>
        <v>9.4698716027056297E-3</v>
      </c>
      <c r="I18" s="75">
        <f>'ggdebt lvl'!I18/'ggdebt lvl'!I40</f>
        <v>8.3911284499216567E-3</v>
      </c>
      <c r="J18" s="75">
        <f>'ggdebt lvl'!J18/'ggdebt lvl'!J40</f>
        <v>8.0736786974507993E-3</v>
      </c>
      <c r="K18" s="75">
        <f>'ggdebt lvl'!K18/'ggdebt lvl'!K40</f>
        <v>7.7594889989867962E-3</v>
      </c>
      <c r="L18" s="75">
        <f>'ggdebt lvl'!L18/'ggdebt lvl'!L40</f>
        <v>6.8777218440332875E-3</v>
      </c>
      <c r="M18" s="75">
        <f>'ggdebt lvl'!M18/'ggdebt lvl'!M40</f>
        <v>6.4264470319765907E-3</v>
      </c>
      <c r="N18" s="75">
        <f>'ggdebt lvl'!N18/'ggdebt lvl'!N40</f>
        <v>2.6317878635850837E-3</v>
      </c>
      <c r="O18" s="75">
        <f>'ggdebt lvl'!O18/'ggdebt lvl'!O40</f>
        <v>2.3814564585750626E-3</v>
      </c>
      <c r="P18" s="75">
        <f>'ggdebt lvl'!P18/'ggdebt lvl'!P40</f>
        <v>1.2088538875378179E-3</v>
      </c>
      <c r="Q18" s="75">
        <f>'ggdebt lvl'!Q18/'ggdebt lvl'!Q40</f>
        <v>1.1358552327180862E-3</v>
      </c>
      <c r="R18" s="75">
        <f>'ggdebt lvl'!R18/'ggdebt lvl'!R40</f>
        <v>2.8386019967887926E-4</v>
      </c>
      <c r="S18" s="75">
        <f>'ggdebt lvl'!S18/'ggdebt lvl'!S40</f>
        <v>2.6226692516692109E-4</v>
      </c>
      <c r="T18" s="75">
        <f>'ggdebt lvl'!T18/'ggdebt lvl'!T40</f>
        <v>2.3833510238699637E-4</v>
      </c>
      <c r="U18" s="75">
        <f>'ggdebt lvl'!U18/'ggdebt lvl'!U40</f>
        <v>2.3504297001449007E-4</v>
      </c>
      <c r="V18" s="75">
        <f>'ggdebt lvl'!V18/'ggdebt lvl'!V40</f>
        <v>2.2648589884169672E-4</v>
      </c>
      <c r="W18" s="75">
        <f>'ggdebt lvl'!W18/'ggdebt lvl'!W40</f>
        <v>2.0266043078370148E-4</v>
      </c>
      <c r="X18" s="75">
        <f>'ggdebt lvl'!X18/'ggdebt lvl'!X40</f>
        <v>2.2413651989799637E-4</v>
      </c>
      <c r="Y18" s="75">
        <f>'ggdebt lvl'!Y18/'ggdebt lvl'!Y40</f>
        <v>1.7989058664861349E-4</v>
      </c>
      <c r="Z18" s="75">
        <f>'ggdebt lvl'!Z18/'ggdebt lvl'!Z40</f>
        <v>1.8237447120186085E-4</v>
      </c>
      <c r="AA18" s="75">
        <f>'ggdebt lvl'!AA18/'ggdebt lvl'!AA40</f>
        <v>1.6000762040026723E-4</v>
      </c>
      <c r="AB18" s="75">
        <f>'ggdebt lvl'!AB18/'ggdebt lvl'!AB40</f>
        <v>1.4873005548742403E-4</v>
      </c>
      <c r="AC18" s="75">
        <f>'ggdebt lvl'!AC18/'ggdebt lvl'!AC40</f>
        <v>1.107732118229878E-4</v>
      </c>
      <c r="AD18" s="75">
        <f>'ggdebt lvl'!AD18/'ggdebt lvl'!AD40</f>
        <v>1.1750423882270332E-4</v>
      </c>
      <c r="AE18" s="75">
        <f>'ggdebt lvl'!AE18/'ggdebt lvl'!AE40</f>
        <v>8.6097813686899203E-5</v>
      </c>
      <c r="AF18" s="75">
        <f>'ggdebt lvl'!AF18/'ggdebt lvl'!AF40</f>
        <v>8.5997987266034912E-5</v>
      </c>
      <c r="AG18" s="75">
        <f>'ggdebt lvl'!AG18/'ggdebt lvl'!AG40</f>
        <v>5.4281770492876773E-5</v>
      </c>
      <c r="AH18" s="75">
        <f>'ggdebt lvl'!AH18/'ggdebt lvl'!AH40</f>
        <v>5.4968556075302815E-5</v>
      </c>
      <c r="AI18" s="75">
        <f>'ggdebt lvl'!AI18/'ggdebt lvl'!AI40</f>
        <v>2.8522161930746019E-5</v>
      </c>
      <c r="AJ18" s="75">
        <f>'ggdebt lvl'!AJ18/'ggdebt lvl'!AJ40</f>
        <v>2.811932995396841E-5</v>
      </c>
      <c r="AK18" s="75">
        <f>'ggdebt lvl'!AK18/'ggdebt lvl'!AK40</f>
        <v>0</v>
      </c>
      <c r="AL18" s="75">
        <f>'ggdebt lvl'!AL18/'ggdebt lvl'!AL40</f>
        <v>0</v>
      </c>
      <c r="AM18" s="75">
        <f>'ggdebt lvl'!AM18/'ggdebt lvl'!AM40</f>
        <v>0</v>
      </c>
      <c r="AN18" s="75">
        <f>'ggdebt lvl'!AN18/'ggdebt lvl'!AN40</f>
        <v>0</v>
      </c>
      <c r="AO18" s="75">
        <f>'ggdebt lvl'!AO18/'ggdebt lvl'!AO40</f>
        <v>0</v>
      </c>
      <c r="AP18" s="75">
        <f>'ggdebt lvl'!AP18/'ggdebt lvl'!AP40</f>
        <v>0</v>
      </c>
      <c r="AQ18" s="75">
        <f>'ggdebt lvl'!AQ18/'ggdebt lvl'!AQ40</f>
        <v>0</v>
      </c>
      <c r="AR18" s="75">
        <f>'ggdebt lvl'!AR18/'ggdebt lvl'!AR40</f>
        <v>0</v>
      </c>
      <c r="AS18" s="75">
        <f>'ggdebt lvl'!AS18/'ggdebt lvl'!AS40</f>
        <v>0</v>
      </c>
      <c r="AT18" s="75">
        <f>'ggdebt lvl'!AT18/'ggdebt lvl'!AT40</f>
        <v>0</v>
      </c>
      <c r="AU18" s="75">
        <f>'ggdebt lvl'!AU18/'ggdebt lvl'!AU40</f>
        <v>0</v>
      </c>
      <c r="AV18" s="75">
        <f>'ggdebt lvl'!AV18/'ggdebt lvl'!AV40</f>
        <v>0</v>
      </c>
      <c r="AW18" s="75">
        <f>'ggdebt lvl'!AW18/'ggdebt lvl'!AW40</f>
        <v>0</v>
      </c>
      <c r="AX18" s="75">
        <f>'ggdebt lvl'!AX18/'ggdebt lvl'!AX40</f>
        <v>0</v>
      </c>
      <c r="AY18" s="75">
        <f>'ggdebt lvl'!AY18/'ggdebt lvl'!AY40</f>
        <v>0</v>
      </c>
    </row>
    <row r="19" spans="1:51" ht="14.1" customHeight="1">
      <c r="A19" s="2"/>
      <c r="B19" s="2"/>
      <c r="C19" s="2"/>
      <c r="D19" s="2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14.1" customHeight="1">
      <c r="A20" s="39" t="s">
        <v>18</v>
      </c>
      <c r="B20" s="40" t="s">
        <v>19</v>
      </c>
      <c r="C20" s="40"/>
      <c r="D20" s="40"/>
      <c r="E20" s="79">
        <f>'ggdebt lvl'!E20/'ggdebt lvl'!E40</f>
        <v>6.9804337833731453E-3</v>
      </c>
      <c r="F20" s="79">
        <f>'ggdebt lvl'!F20/'ggdebt lvl'!F40</f>
        <v>7.4189293288665385E-3</v>
      </c>
      <c r="G20" s="79">
        <f>'ggdebt lvl'!G20/'ggdebt lvl'!G40</f>
        <v>8.8487542513790533E-3</v>
      </c>
      <c r="H20" s="79">
        <f>'ggdebt lvl'!H20/'ggdebt lvl'!H40</f>
        <v>1.3866009430839371E-3</v>
      </c>
      <c r="I20" s="79">
        <f>'ggdebt lvl'!I20/'ggdebt lvl'!I40</f>
        <v>1.4329383516000702E-3</v>
      </c>
      <c r="J20" s="79">
        <f>'ggdebt lvl'!J20/'ggdebt lvl'!J40</f>
        <v>2.1194963794748762E-3</v>
      </c>
      <c r="K20" s="79">
        <f>'ggdebt lvl'!K20/'ggdebt lvl'!K40</f>
        <v>2.4679350250329402E-3</v>
      </c>
      <c r="L20" s="79">
        <f>'ggdebt lvl'!L20/'ggdebt lvl'!L40</f>
        <v>0</v>
      </c>
      <c r="M20" s="79">
        <f>'ggdebt lvl'!M20/'ggdebt lvl'!M40</f>
        <v>0</v>
      </c>
      <c r="N20" s="79">
        <f>'ggdebt lvl'!N20/'ggdebt lvl'!N40</f>
        <v>0</v>
      </c>
      <c r="O20" s="79">
        <f>'ggdebt lvl'!O20/'ggdebt lvl'!O40</f>
        <v>0</v>
      </c>
      <c r="P20" s="79">
        <f>'ggdebt lvl'!P20/'ggdebt lvl'!P40</f>
        <v>0</v>
      </c>
      <c r="Q20" s="79">
        <f>'ggdebt lvl'!Q20/'ggdebt lvl'!Q40</f>
        <v>0</v>
      </c>
      <c r="R20" s="79">
        <f>'ggdebt lvl'!R20/'ggdebt lvl'!R40</f>
        <v>0</v>
      </c>
      <c r="S20" s="79">
        <f>'ggdebt lvl'!S20/'ggdebt lvl'!S40</f>
        <v>0</v>
      </c>
      <c r="T20" s="79">
        <f>'ggdebt lvl'!T20/'ggdebt lvl'!T40</f>
        <v>0</v>
      </c>
      <c r="U20" s="79">
        <f>'ggdebt lvl'!U20/'ggdebt lvl'!U40</f>
        <v>0</v>
      </c>
      <c r="V20" s="79">
        <f>'ggdebt lvl'!V20/'ggdebt lvl'!V40</f>
        <v>0</v>
      </c>
      <c r="W20" s="79">
        <f>'ggdebt lvl'!W20/'ggdebt lvl'!W40</f>
        <v>0</v>
      </c>
      <c r="X20" s="79">
        <f>'ggdebt lvl'!X20/'ggdebt lvl'!X40</f>
        <v>0</v>
      </c>
      <c r="Y20" s="79">
        <f>'ggdebt lvl'!Y20/'ggdebt lvl'!Y40</f>
        <v>0</v>
      </c>
      <c r="Z20" s="79">
        <f>'ggdebt lvl'!Z20/'ggdebt lvl'!Z40</f>
        <v>0</v>
      </c>
      <c r="AA20" s="79">
        <f>'ggdebt lvl'!AA20/'ggdebt lvl'!AA40</f>
        <v>0</v>
      </c>
      <c r="AB20" s="79">
        <f>'ggdebt lvl'!AB20/'ggdebt lvl'!AB40</f>
        <v>0</v>
      </c>
      <c r="AC20" s="79">
        <f>'ggdebt lvl'!AC20/'ggdebt lvl'!AC40</f>
        <v>0</v>
      </c>
      <c r="AD20" s="79">
        <f>'ggdebt lvl'!AD20/'ggdebt lvl'!AD40</f>
        <v>0</v>
      </c>
      <c r="AE20" s="79">
        <f>'ggdebt lvl'!AE20/'ggdebt lvl'!AE40</f>
        <v>0</v>
      </c>
      <c r="AF20" s="79">
        <f>'ggdebt lvl'!AF20/'ggdebt lvl'!AF40</f>
        <v>0</v>
      </c>
      <c r="AG20" s="79">
        <f>'ggdebt lvl'!AG20/'ggdebt lvl'!AG40</f>
        <v>0</v>
      </c>
      <c r="AH20" s="79">
        <f>'ggdebt lvl'!AH20/'ggdebt lvl'!AH40</f>
        <v>0</v>
      </c>
      <c r="AI20" s="79">
        <f>'ggdebt lvl'!AI20/'ggdebt lvl'!AI40</f>
        <v>0</v>
      </c>
      <c r="AJ20" s="79">
        <f>'ggdebt lvl'!AJ20/'ggdebt lvl'!AJ40</f>
        <v>0</v>
      </c>
      <c r="AK20" s="79">
        <f>'ggdebt lvl'!AK20/'ggdebt lvl'!AK40</f>
        <v>0</v>
      </c>
      <c r="AL20" s="79">
        <f>'ggdebt lvl'!AL20/'ggdebt lvl'!AL40</f>
        <v>0</v>
      </c>
      <c r="AM20" s="79">
        <f>'ggdebt lvl'!AM20/'ggdebt lvl'!AM40</f>
        <v>0</v>
      </c>
      <c r="AN20" s="79">
        <f>'ggdebt lvl'!AN20/'ggdebt lvl'!AN40</f>
        <v>0</v>
      </c>
      <c r="AO20" s="79">
        <f>'ggdebt lvl'!AO20/'ggdebt lvl'!AO40</f>
        <v>0</v>
      </c>
      <c r="AP20" s="79">
        <f>'ggdebt lvl'!AP20/'ggdebt lvl'!AP40</f>
        <v>0</v>
      </c>
      <c r="AQ20" s="79">
        <f>'ggdebt lvl'!AQ20/'ggdebt lvl'!AQ40</f>
        <v>0</v>
      </c>
      <c r="AR20" s="79">
        <f>'ggdebt lvl'!AR20/'ggdebt lvl'!AR40</f>
        <v>0</v>
      </c>
      <c r="AS20" s="79">
        <f>'ggdebt lvl'!AS20/'ggdebt lvl'!AS40</f>
        <v>0</v>
      </c>
      <c r="AT20" s="79">
        <f>'ggdebt lvl'!AT20/'ggdebt lvl'!AT40</f>
        <v>0</v>
      </c>
      <c r="AU20" s="79">
        <f>'ggdebt lvl'!AU20/'ggdebt lvl'!AU40</f>
        <v>0</v>
      </c>
      <c r="AV20" s="79">
        <f>'ggdebt lvl'!AV20/'ggdebt lvl'!AV40</f>
        <v>0</v>
      </c>
      <c r="AW20" s="79">
        <f>'ggdebt lvl'!AW20/'ggdebt lvl'!AW40</f>
        <v>0</v>
      </c>
      <c r="AX20" s="79">
        <f>'ggdebt lvl'!AX20/'ggdebt lvl'!AX40</f>
        <v>0</v>
      </c>
      <c r="AY20" s="79">
        <f>'ggdebt lvl'!AY20/'ggdebt lvl'!AY40</f>
        <v>0</v>
      </c>
    </row>
    <row r="21" spans="1:51" ht="14.1" customHeight="1">
      <c r="A21" s="41"/>
      <c r="B21" s="41"/>
      <c r="C21" s="41" t="s">
        <v>10</v>
      </c>
      <c r="D21" s="41"/>
      <c r="E21" s="80">
        <f>'ggdebt lvl'!E21/'ggdebt lvl'!E40</f>
        <v>6.9804337833731453E-3</v>
      </c>
      <c r="F21" s="80">
        <f>'ggdebt lvl'!F21/'ggdebt lvl'!F40</f>
        <v>7.4189293288665385E-3</v>
      </c>
      <c r="G21" s="80">
        <f>'ggdebt lvl'!G21/'ggdebt lvl'!G40</f>
        <v>8.8487542513790533E-3</v>
      </c>
      <c r="H21" s="80">
        <f>'ggdebt lvl'!H21/'ggdebt lvl'!H40</f>
        <v>1.3866009430839371E-3</v>
      </c>
      <c r="I21" s="80">
        <f>'ggdebt lvl'!I21/'ggdebt lvl'!I40</f>
        <v>1.4329383516000702E-3</v>
      </c>
      <c r="J21" s="80">
        <f>'ggdebt lvl'!J21/'ggdebt lvl'!J40</f>
        <v>2.1194963794748762E-3</v>
      </c>
      <c r="K21" s="80">
        <f>'ggdebt lvl'!K21/'ggdebt lvl'!K40</f>
        <v>2.4679350250329402E-3</v>
      </c>
      <c r="L21" s="80">
        <f>'ggdebt lvl'!L21/'ggdebt lvl'!L40</f>
        <v>0</v>
      </c>
      <c r="M21" s="80">
        <f>'ggdebt lvl'!M21/'ggdebt lvl'!M40</f>
        <v>0</v>
      </c>
      <c r="N21" s="80">
        <f>'ggdebt lvl'!N21/'ggdebt lvl'!N40</f>
        <v>0</v>
      </c>
      <c r="O21" s="80">
        <f>'ggdebt lvl'!O21/'ggdebt lvl'!O40</f>
        <v>0</v>
      </c>
      <c r="P21" s="80">
        <f>'ggdebt lvl'!P21/'ggdebt lvl'!P40</f>
        <v>0</v>
      </c>
      <c r="Q21" s="80">
        <f>'ggdebt lvl'!Q21/'ggdebt lvl'!Q40</f>
        <v>0</v>
      </c>
      <c r="R21" s="80">
        <f>'ggdebt lvl'!R21/'ggdebt lvl'!R40</f>
        <v>0</v>
      </c>
      <c r="S21" s="80">
        <f>'ggdebt lvl'!S21/'ggdebt lvl'!S40</f>
        <v>0</v>
      </c>
      <c r="T21" s="80">
        <f>'ggdebt lvl'!T21/'ggdebt lvl'!T40</f>
        <v>0</v>
      </c>
      <c r="U21" s="80">
        <f>'ggdebt lvl'!U21/'ggdebt lvl'!U40</f>
        <v>0</v>
      </c>
      <c r="V21" s="80">
        <f>'ggdebt lvl'!V21/'ggdebt lvl'!V40</f>
        <v>0</v>
      </c>
      <c r="W21" s="80">
        <f>'ggdebt lvl'!W21/'ggdebt lvl'!W40</f>
        <v>0</v>
      </c>
      <c r="X21" s="80">
        <f>'ggdebt lvl'!X21/'ggdebt lvl'!X40</f>
        <v>0</v>
      </c>
      <c r="Y21" s="80">
        <f>'ggdebt lvl'!Y21/'ggdebt lvl'!Y40</f>
        <v>0</v>
      </c>
      <c r="Z21" s="80">
        <f>'ggdebt lvl'!Z21/'ggdebt lvl'!Z40</f>
        <v>0</v>
      </c>
      <c r="AA21" s="80">
        <f>'ggdebt lvl'!AA21/'ggdebt lvl'!AA40</f>
        <v>0</v>
      </c>
      <c r="AB21" s="80">
        <f>'ggdebt lvl'!AB21/'ggdebt lvl'!AB40</f>
        <v>0</v>
      </c>
      <c r="AC21" s="80">
        <f>'ggdebt lvl'!AC21/'ggdebt lvl'!AC40</f>
        <v>0</v>
      </c>
      <c r="AD21" s="80">
        <f>'ggdebt lvl'!AD21/'ggdebt lvl'!AD40</f>
        <v>0</v>
      </c>
      <c r="AE21" s="80">
        <f>'ggdebt lvl'!AE21/'ggdebt lvl'!AE40</f>
        <v>0</v>
      </c>
      <c r="AF21" s="80">
        <f>'ggdebt lvl'!AF21/'ggdebt lvl'!AF40</f>
        <v>0</v>
      </c>
      <c r="AG21" s="80">
        <f>'ggdebt lvl'!AG21/'ggdebt lvl'!AG40</f>
        <v>0</v>
      </c>
      <c r="AH21" s="80">
        <f>'ggdebt lvl'!AH21/'ggdebt lvl'!AH40</f>
        <v>0</v>
      </c>
      <c r="AI21" s="80">
        <f>'ggdebt lvl'!AI21/'ggdebt lvl'!AI40</f>
        <v>0</v>
      </c>
      <c r="AJ21" s="80">
        <f>'ggdebt lvl'!AJ21/'ggdebt lvl'!AJ40</f>
        <v>0</v>
      </c>
      <c r="AK21" s="80">
        <f>'ggdebt lvl'!AK21/'ggdebt lvl'!AK40</f>
        <v>0</v>
      </c>
      <c r="AL21" s="80">
        <f>'ggdebt lvl'!AL21/'ggdebt lvl'!AL40</f>
        <v>0</v>
      </c>
      <c r="AM21" s="80">
        <f>'ggdebt lvl'!AM21/'ggdebt lvl'!AM40</f>
        <v>0</v>
      </c>
      <c r="AN21" s="80">
        <f>'ggdebt lvl'!AN21/'ggdebt lvl'!AN40</f>
        <v>0</v>
      </c>
      <c r="AO21" s="80">
        <f>'ggdebt lvl'!AO21/'ggdebt lvl'!AO40</f>
        <v>0</v>
      </c>
      <c r="AP21" s="80">
        <f>'ggdebt lvl'!AP21/'ggdebt lvl'!AP40</f>
        <v>0</v>
      </c>
      <c r="AQ21" s="80">
        <f>'ggdebt lvl'!AQ21/'ggdebt lvl'!AQ40</f>
        <v>0</v>
      </c>
      <c r="AR21" s="80">
        <f>'ggdebt lvl'!AR21/'ggdebt lvl'!AR40</f>
        <v>0</v>
      </c>
      <c r="AS21" s="80">
        <f>'ggdebt lvl'!AS21/'ggdebt lvl'!AS40</f>
        <v>0</v>
      </c>
      <c r="AT21" s="80">
        <f>'ggdebt lvl'!AT21/'ggdebt lvl'!AT40</f>
        <v>0</v>
      </c>
      <c r="AU21" s="80">
        <f>'ggdebt lvl'!AU21/'ggdebt lvl'!AU40</f>
        <v>0</v>
      </c>
      <c r="AV21" s="80">
        <f>'ggdebt lvl'!AV21/'ggdebt lvl'!AV40</f>
        <v>0</v>
      </c>
      <c r="AW21" s="80">
        <f>'ggdebt lvl'!AW21/'ggdebt lvl'!AW40</f>
        <v>0</v>
      </c>
      <c r="AX21" s="80">
        <f>'ggdebt lvl'!AX21/'ggdebt lvl'!AX40</f>
        <v>0</v>
      </c>
      <c r="AY21" s="80">
        <f>'ggdebt lvl'!AY21/'ggdebt lvl'!AY40</f>
        <v>0</v>
      </c>
    </row>
    <row r="22" spans="1:51" ht="14.1" customHeight="1">
      <c r="A22" s="41"/>
      <c r="B22" s="41"/>
      <c r="C22" s="41" t="s">
        <v>11</v>
      </c>
      <c r="D22" s="41"/>
      <c r="E22" s="80">
        <f>'ggdebt lvl'!E22/'ggdebt lvl'!E40</f>
        <v>0</v>
      </c>
      <c r="F22" s="80">
        <f>'ggdebt lvl'!F22/'ggdebt lvl'!F40</f>
        <v>0</v>
      </c>
      <c r="G22" s="80">
        <f>'ggdebt lvl'!G22/'ggdebt lvl'!G40</f>
        <v>0</v>
      </c>
      <c r="H22" s="80">
        <f>'ggdebt lvl'!H22/'ggdebt lvl'!H40</f>
        <v>0</v>
      </c>
      <c r="I22" s="80">
        <f>'ggdebt lvl'!I22/'ggdebt lvl'!I40</f>
        <v>0</v>
      </c>
      <c r="J22" s="80">
        <f>'ggdebt lvl'!J22/'ggdebt lvl'!J40</f>
        <v>0</v>
      </c>
      <c r="K22" s="80">
        <f>'ggdebt lvl'!K22/'ggdebt lvl'!K40</f>
        <v>0</v>
      </c>
      <c r="L22" s="80">
        <f>'ggdebt lvl'!L22/'ggdebt lvl'!L40</f>
        <v>0</v>
      </c>
      <c r="M22" s="80">
        <f>'ggdebt lvl'!M22/'ggdebt lvl'!M40</f>
        <v>0</v>
      </c>
      <c r="N22" s="80">
        <f>'ggdebt lvl'!N22/'ggdebt lvl'!N40</f>
        <v>0</v>
      </c>
      <c r="O22" s="80">
        <f>'ggdebt lvl'!O22/'ggdebt lvl'!O40</f>
        <v>0</v>
      </c>
      <c r="P22" s="80">
        <f>'ggdebt lvl'!P22/'ggdebt lvl'!P40</f>
        <v>0</v>
      </c>
      <c r="Q22" s="80">
        <f>'ggdebt lvl'!Q22/'ggdebt lvl'!Q40</f>
        <v>0</v>
      </c>
      <c r="R22" s="80">
        <f>'ggdebt lvl'!R22/'ggdebt lvl'!R40</f>
        <v>0</v>
      </c>
      <c r="S22" s="80">
        <f>'ggdebt lvl'!S22/'ggdebt lvl'!S40</f>
        <v>0</v>
      </c>
      <c r="T22" s="80">
        <f>'ggdebt lvl'!T22/'ggdebt lvl'!T40</f>
        <v>0</v>
      </c>
      <c r="U22" s="80">
        <f>'ggdebt lvl'!U22/'ggdebt lvl'!U40</f>
        <v>0</v>
      </c>
      <c r="V22" s="80">
        <f>'ggdebt lvl'!V22/'ggdebt lvl'!V40</f>
        <v>0</v>
      </c>
      <c r="W22" s="80">
        <f>'ggdebt lvl'!W22/'ggdebt lvl'!W40</f>
        <v>0</v>
      </c>
      <c r="X22" s="80">
        <f>'ggdebt lvl'!X22/'ggdebt lvl'!X40</f>
        <v>0</v>
      </c>
      <c r="Y22" s="80">
        <f>'ggdebt lvl'!Y22/'ggdebt lvl'!Y40</f>
        <v>0</v>
      </c>
      <c r="Z22" s="80">
        <f>'ggdebt lvl'!Z22/'ggdebt lvl'!Z40</f>
        <v>0</v>
      </c>
      <c r="AA22" s="80">
        <f>'ggdebt lvl'!AA22/'ggdebt lvl'!AA40</f>
        <v>0</v>
      </c>
      <c r="AB22" s="80">
        <f>'ggdebt lvl'!AB22/'ggdebt lvl'!AB40</f>
        <v>0</v>
      </c>
      <c r="AC22" s="80">
        <f>'ggdebt lvl'!AC22/'ggdebt lvl'!AC40</f>
        <v>0</v>
      </c>
      <c r="AD22" s="80">
        <f>'ggdebt lvl'!AD22/'ggdebt lvl'!AD40</f>
        <v>0</v>
      </c>
      <c r="AE22" s="80">
        <f>'ggdebt lvl'!AE22/'ggdebt lvl'!AE40</f>
        <v>0</v>
      </c>
      <c r="AF22" s="80">
        <f>'ggdebt lvl'!AF22/'ggdebt lvl'!AF40</f>
        <v>0</v>
      </c>
      <c r="AG22" s="80">
        <f>'ggdebt lvl'!AG22/'ggdebt lvl'!AG40</f>
        <v>0</v>
      </c>
      <c r="AH22" s="80">
        <f>'ggdebt lvl'!AH22/'ggdebt lvl'!AH40</f>
        <v>0</v>
      </c>
      <c r="AI22" s="80">
        <f>'ggdebt lvl'!AI22/'ggdebt lvl'!AI40</f>
        <v>0</v>
      </c>
      <c r="AJ22" s="80">
        <f>'ggdebt lvl'!AJ22/'ggdebt lvl'!AJ40</f>
        <v>0</v>
      </c>
      <c r="AK22" s="80">
        <f>'ggdebt lvl'!AK22/'ggdebt lvl'!AK40</f>
        <v>0</v>
      </c>
      <c r="AL22" s="80">
        <f>'ggdebt lvl'!AL22/'ggdebt lvl'!AL40</f>
        <v>0</v>
      </c>
      <c r="AM22" s="80">
        <f>'ggdebt lvl'!AM22/'ggdebt lvl'!AM40</f>
        <v>0</v>
      </c>
      <c r="AN22" s="80">
        <f>'ggdebt lvl'!AN22/'ggdebt lvl'!AN40</f>
        <v>0</v>
      </c>
      <c r="AO22" s="80">
        <f>'ggdebt lvl'!AO22/'ggdebt lvl'!AO40</f>
        <v>0</v>
      </c>
      <c r="AP22" s="80">
        <f>'ggdebt lvl'!AP22/'ggdebt lvl'!AP40</f>
        <v>0</v>
      </c>
      <c r="AQ22" s="80">
        <f>'ggdebt lvl'!AQ22/'ggdebt lvl'!AQ40</f>
        <v>0</v>
      </c>
      <c r="AR22" s="80">
        <f>'ggdebt lvl'!AR22/'ggdebt lvl'!AR40</f>
        <v>0</v>
      </c>
      <c r="AS22" s="80">
        <f>'ggdebt lvl'!AS22/'ggdebt lvl'!AS40</f>
        <v>0</v>
      </c>
      <c r="AT22" s="80">
        <f>'ggdebt lvl'!AT22/'ggdebt lvl'!AT40</f>
        <v>0</v>
      </c>
      <c r="AU22" s="80">
        <f>'ggdebt lvl'!AU22/'ggdebt lvl'!AU40</f>
        <v>0</v>
      </c>
      <c r="AV22" s="80">
        <f>'ggdebt lvl'!AV22/'ggdebt lvl'!AV40</f>
        <v>0</v>
      </c>
      <c r="AW22" s="80">
        <f>'ggdebt lvl'!AW22/'ggdebt lvl'!AW40</f>
        <v>0</v>
      </c>
      <c r="AX22" s="80">
        <f>'ggdebt lvl'!AX22/'ggdebt lvl'!AX40</f>
        <v>0</v>
      </c>
      <c r="AY22" s="80">
        <f>'ggdebt lvl'!AY22/'ggdebt lvl'!AY40</f>
        <v>0</v>
      </c>
    </row>
    <row r="23" spans="1:51" ht="14.1" customHeight="1">
      <c r="A23" s="2"/>
      <c r="B23" s="2"/>
      <c r="C23" s="2"/>
      <c r="D23" s="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ht="14.1" customHeight="1">
      <c r="A24" s="11" t="s">
        <v>20</v>
      </c>
      <c r="B24" s="12" t="s">
        <v>21</v>
      </c>
      <c r="C24" s="12"/>
      <c r="D24" s="12"/>
      <c r="E24" s="76">
        <f>'ggdebt lvl'!E24/'ggdebt lvl'!E40</f>
        <v>9.6963204970274761E-3</v>
      </c>
      <c r="F24" s="76">
        <f>'ggdebt lvl'!F24/'ggdebt lvl'!F40</f>
        <v>9.6748685405254383E-3</v>
      </c>
      <c r="G24" s="76">
        <f>'ggdebt lvl'!G24/'ggdebt lvl'!G40</f>
        <v>9.782203470397351E-3</v>
      </c>
      <c r="H24" s="76">
        <f>'ggdebt lvl'!H24/'ggdebt lvl'!H40</f>
        <v>9.6055589027104135E-3</v>
      </c>
      <c r="I24" s="76">
        <f>'ggdebt lvl'!I24/'ggdebt lvl'!I40</f>
        <v>9.7234270635142145E-3</v>
      </c>
      <c r="J24" s="76">
        <f>'ggdebt lvl'!J24/'ggdebt lvl'!J40</f>
        <v>9.7894745831877458E-3</v>
      </c>
      <c r="K24" s="76">
        <f>'ggdebt lvl'!K24/'ggdebt lvl'!K40</f>
        <v>9.8272917388399043E-3</v>
      </c>
      <c r="L24" s="76">
        <f>'ggdebt lvl'!L24/'ggdebt lvl'!L40</f>
        <v>9.6940197260693053E-3</v>
      </c>
      <c r="M24" s="76">
        <f>'ggdebt lvl'!M24/'ggdebt lvl'!M40</f>
        <v>9.7178641095160816E-3</v>
      </c>
      <c r="N24" s="76">
        <f>'ggdebt lvl'!N24/'ggdebt lvl'!N40</f>
        <v>8.8990700190209205E-3</v>
      </c>
      <c r="O24" s="76">
        <f>'ggdebt lvl'!O24/'ggdebt lvl'!O40</f>
        <v>9.8434955098651543E-3</v>
      </c>
      <c r="P24" s="76">
        <f>'ggdebt lvl'!P24/'ggdebt lvl'!P40</f>
        <v>1.0152563167139653E-2</v>
      </c>
      <c r="Q24" s="76">
        <f>'ggdebt lvl'!Q24/'ggdebt lvl'!Q40</f>
        <v>1.0547037893358409E-2</v>
      </c>
      <c r="R24" s="76">
        <f>'ggdebt lvl'!R24/'ggdebt lvl'!R40</f>
        <v>5.8945715580963308E-3</v>
      </c>
      <c r="S24" s="76">
        <f>'ggdebt lvl'!S24/'ggdebt lvl'!S40</f>
        <v>6.6405840533070746E-3</v>
      </c>
      <c r="T24" s="76">
        <f>'ggdebt lvl'!T24/'ggdebt lvl'!T40</f>
        <v>6.3186091822344179E-3</v>
      </c>
      <c r="U24" s="76">
        <f>'ggdebt lvl'!U24/'ggdebt lvl'!U40</f>
        <v>6.3409550299690165E-3</v>
      </c>
      <c r="V24" s="76">
        <f>'ggdebt lvl'!V24/'ggdebt lvl'!V40</f>
        <v>6.2098820775802798E-3</v>
      </c>
      <c r="W24" s="76">
        <f>'ggdebt lvl'!W24/'ggdebt lvl'!W40</f>
        <v>6.3921888676433608E-3</v>
      </c>
      <c r="X24" s="76">
        <f>'ggdebt lvl'!X24/'ggdebt lvl'!X40</f>
        <v>6.7261264318797939E-3</v>
      </c>
      <c r="Y24" s="76">
        <f>'ggdebt lvl'!Y24/'ggdebt lvl'!Y40</f>
        <v>7.8994644567898266E-3</v>
      </c>
      <c r="Z24" s="76">
        <f>'ggdebt lvl'!Z24/'ggdebt lvl'!Z40</f>
        <v>6.6676127876414146E-3</v>
      </c>
      <c r="AA24" s="76">
        <f>'ggdebt lvl'!AA24/'ggdebt lvl'!AA40</f>
        <v>7.0079875288840202E-3</v>
      </c>
      <c r="AB24" s="76">
        <f>'ggdebt lvl'!AB24/'ggdebt lvl'!AB40</f>
        <v>7.2456075072846321E-3</v>
      </c>
      <c r="AC24" s="76">
        <f>'ggdebt lvl'!AC24/'ggdebt lvl'!AC40</f>
        <v>7.546480321631373E-3</v>
      </c>
      <c r="AD24" s="76">
        <f>'ggdebt lvl'!AD24/'ggdebt lvl'!AD40</f>
        <v>7.7710524573411351E-3</v>
      </c>
      <c r="AE24" s="76">
        <f>'ggdebt lvl'!AE24/'ggdebt lvl'!AE40</f>
        <v>7.7558483012406332E-3</v>
      </c>
      <c r="AF24" s="76">
        <f>'ggdebt lvl'!AF24/'ggdebt lvl'!AF40</f>
        <v>7.6665033998031869E-3</v>
      </c>
      <c r="AG24" s="76">
        <f>'ggdebt lvl'!AG24/'ggdebt lvl'!AG40</f>
        <v>7.5120163614696509E-3</v>
      </c>
      <c r="AH24" s="76">
        <f>'ggdebt lvl'!AH24/'ggdebt lvl'!AH40</f>
        <v>7.045762519663901E-3</v>
      </c>
      <c r="AI24" s="76">
        <f>'ggdebt lvl'!AI24/'ggdebt lvl'!AI40</f>
        <v>6.9817449180072221E-3</v>
      </c>
      <c r="AJ24" s="76">
        <f>'ggdebt lvl'!AJ24/'ggdebt lvl'!AJ40</f>
        <v>7.2560565245032276E-3</v>
      </c>
      <c r="AK24" s="76">
        <f>'ggdebt lvl'!AK24/'ggdebt lvl'!AK40</f>
        <v>7.151278551319965E-3</v>
      </c>
      <c r="AL24" s="76">
        <f>'ggdebt lvl'!AL24/'ggdebt lvl'!AL40</f>
        <v>7.0409267993546349E-3</v>
      </c>
      <c r="AM24" s="76">
        <f>'ggdebt lvl'!AM24/'ggdebt lvl'!AM40</f>
        <v>6.9150597645900921E-3</v>
      </c>
      <c r="AN24" s="76">
        <f>'ggdebt lvl'!AN24/'ggdebt lvl'!AN40</f>
        <v>6.9458723455374724E-3</v>
      </c>
      <c r="AO24" s="76">
        <f>'ggdebt lvl'!AO24/'ggdebt lvl'!AO40</f>
        <v>6.566011264027634E-3</v>
      </c>
      <c r="AP24" s="76">
        <f>'ggdebt lvl'!AP24/'ggdebt lvl'!AP40</f>
        <v>6.446167998534192E-3</v>
      </c>
      <c r="AQ24" s="76">
        <f>'ggdebt lvl'!AQ24/'ggdebt lvl'!AQ40</f>
        <v>6.2758672515900709E-3</v>
      </c>
      <c r="AR24" s="76">
        <f>'ggdebt lvl'!AR24/'ggdebt lvl'!AR40</f>
        <v>6.1780686266455368E-3</v>
      </c>
      <c r="AS24" s="76">
        <f>'ggdebt lvl'!AS24/'ggdebt lvl'!AS40</f>
        <v>5.8837953564007048E-3</v>
      </c>
      <c r="AT24" s="76">
        <f>'ggdebt lvl'!AT24/'ggdebt lvl'!AT40</f>
        <v>5.7687606286597635E-3</v>
      </c>
      <c r="AU24" s="76">
        <f>'ggdebt lvl'!AU24/'ggdebt lvl'!AU40</f>
        <v>5.5567500817279248E-3</v>
      </c>
      <c r="AV24" s="76">
        <f>'ggdebt lvl'!AV24/'ggdebt lvl'!AV40</f>
        <v>5.4194462391953758E-3</v>
      </c>
      <c r="AW24" s="76">
        <f>'ggdebt lvl'!AW24/'ggdebt lvl'!AW40</f>
        <v>5.2941810562098816E-3</v>
      </c>
      <c r="AX24" s="76">
        <f>'ggdebt lvl'!AX24/'ggdebt lvl'!AX40</f>
        <v>5.2096231819650082E-3</v>
      </c>
      <c r="AY24" s="76">
        <f>'ggdebt lvl'!AY24/'ggdebt lvl'!AY40</f>
        <v>5.2994710322678005E-3</v>
      </c>
    </row>
    <row r="25" spans="1:51" ht="14.1" customHeight="1">
      <c r="A25" s="2"/>
      <c r="B25" s="2"/>
      <c r="C25" s="2" t="s">
        <v>10</v>
      </c>
      <c r="D25" s="2"/>
      <c r="E25" s="75">
        <f>'ggdebt lvl'!E25/'ggdebt lvl'!E40</f>
        <v>9.6963204970274761E-3</v>
      </c>
      <c r="F25" s="75">
        <f>'ggdebt lvl'!F25/'ggdebt lvl'!F40</f>
        <v>9.6748685405254383E-3</v>
      </c>
      <c r="G25" s="75">
        <f>'ggdebt lvl'!G25/'ggdebt lvl'!G40</f>
        <v>9.782203470397351E-3</v>
      </c>
      <c r="H25" s="75">
        <f>'ggdebt lvl'!H25/'ggdebt lvl'!H40</f>
        <v>9.6055589027104135E-3</v>
      </c>
      <c r="I25" s="75">
        <f>'ggdebt lvl'!I25/'ggdebt lvl'!I40</f>
        <v>9.7234270635142145E-3</v>
      </c>
      <c r="J25" s="75">
        <f>'ggdebt lvl'!J25/'ggdebt lvl'!J40</f>
        <v>9.7894745831877458E-3</v>
      </c>
      <c r="K25" s="75">
        <f>'ggdebt lvl'!K25/'ggdebt lvl'!K40</f>
        <v>9.8272917388399043E-3</v>
      </c>
      <c r="L25" s="75">
        <f>'ggdebt lvl'!L25/'ggdebt lvl'!L40</f>
        <v>9.6940197260693053E-3</v>
      </c>
      <c r="M25" s="75">
        <f>'ggdebt lvl'!M25/'ggdebt lvl'!M40</f>
        <v>9.7178641095160816E-3</v>
      </c>
      <c r="N25" s="75">
        <f>'ggdebt lvl'!N25/'ggdebt lvl'!N40</f>
        <v>8.8990700190209205E-3</v>
      </c>
      <c r="O25" s="75">
        <f>'ggdebt lvl'!O25/'ggdebt lvl'!O40</f>
        <v>9.8434955098651543E-3</v>
      </c>
      <c r="P25" s="75">
        <f>'ggdebt lvl'!P25/'ggdebt lvl'!P40</f>
        <v>1.0152563167139653E-2</v>
      </c>
      <c r="Q25" s="75">
        <f>'ggdebt lvl'!Q25/'ggdebt lvl'!Q40</f>
        <v>1.0547037893358409E-2</v>
      </c>
      <c r="R25" s="75">
        <f>'ggdebt lvl'!R25/'ggdebt lvl'!R40</f>
        <v>5.8945715580963308E-3</v>
      </c>
      <c r="S25" s="75">
        <f>'ggdebt lvl'!S25/'ggdebt lvl'!S40</f>
        <v>6.6405840533070746E-3</v>
      </c>
      <c r="T25" s="75">
        <f>'ggdebt lvl'!T25/'ggdebt lvl'!T40</f>
        <v>6.3186091822344179E-3</v>
      </c>
      <c r="U25" s="75">
        <f>'ggdebt lvl'!U25/'ggdebt lvl'!U40</f>
        <v>6.3409550299690165E-3</v>
      </c>
      <c r="V25" s="75">
        <f>'ggdebt lvl'!V25/'ggdebt lvl'!V40</f>
        <v>6.2098820775802798E-3</v>
      </c>
      <c r="W25" s="75">
        <f>'ggdebt lvl'!W25/'ggdebt lvl'!W40</f>
        <v>6.3921888676433608E-3</v>
      </c>
      <c r="X25" s="75">
        <f>'ggdebt lvl'!X25/'ggdebt lvl'!X40</f>
        <v>6.7261264318797939E-3</v>
      </c>
      <c r="Y25" s="75">
        <f>'ggdebt lvl'!Y25/'ggdebt lvl'!Y40</f>
        <v>7.8994644567898266E-3</v>
      </c>
      <c r="Z25" s="75">
        <f>'ggdebt lvl'!Z25/'ggdebt lvl'!Z40</f>
        <v>6.6676127876414146E-3</v>
      </c>
      <c r="AA25" s="75">
        <f>'ggdebt lvl'!AA25/'ggdebt lvl'!AA40</f>
        <v>7.0079875288840202E-3</v>
      </c>
      <c r="AB25" s="75">
        <f>'ggdebt lvl'!AB25/'ggdebt lvl'!AB40</f>
        <v>7.2456075072846321E-3</v>
      </c>
      <c r="AC25" s="75">
        <f>'ggdebt lvl'!AC25/'ggdebt lvl'!AC40</f>
        <v>7.546480321631373E-3</v>
      </c>
      <c r="AD25" s="75">
        <f>'ggdebt lvl'!AD25/'ggdebt lvl'!AD40</f>
        <v>7.7710524573411351E-3</v>
      </c>
      <c r="AE25" s="75">
        <f>'ggdebt lvl'!AE25/'ggdebt lvl'!AE40</f>
        <v>7.7558483012406332E-3</v>
      </c>
      <c r="AF25" s="75">
        <f>'ggdebt lvl'!AF25/'ggdebt lvl'!AF40</f>
        <v>7.6665033998031869E-3</v>
      </c>
      <c r="AG25" s="75">
        <f>'ggdebt lvl'!AG25/'ggdebt lvl'!AG40</f>
        <v>7.5120163614696509E-3</v>
      </c>
      <c r="AH25" s="75">
        <f>'ggdebt lvl'!AH25/'ggdebt lvl'!AH40</f>
        <v>7.045762519663901E-3</v>
      </c>
      <c r="AI25" s="75">
        <f>'ggdebt lvl'!AI25/'ggdebt lvl'!AI40</f>
        <v>6.9817449180072221E-3</v>
      </c>
      <c r="AJ25" s="75">
        <f>'ggdebt lvl'!AJ25/'ggdebt lvl'!AJ40</f>
        <v>7.2560565245032276E-3</v>
      </c>
      <c r="AK25" s="75">
        <f>'ggdebt lvl'!AK25/'ggdebt lvl'!AK40</f>
        <v>7.151278551319965E-3</v>
      </c>
      <c r="AL25" s="75">
        <f>'ggdebt lvl'!AL25/'ggdebt lvl'!AL40</f>
        <v>7.0409267993546349E-3</v>
      </c>
      <c r="AM25" s="75">
        <f>'ggdebt lvl'!AM25/'ggdebt lvl'!AM40</f>
        <v>6.9150597645900921E-3</v>
      </c>
      <c r="AN25" s="75">
        <f>'ggdebt lvl'!AN25/'ggdebt lvl'!AN40</f>
        <v>6.9458723455374724E-3</v>
      </c>
      <c r="AO25" s="75">
        <f>'ggdebt lvl'!AO25/'ggdebt lvl'!AO40</f>
        <v>6.566011264027634E-3</v>
      </c>
      <c r="AP25" s="75">
        <f>'ggdebt lvl'!AP25/'ggdebt lvl'!AP40</f>
        <v>6.446167998534192E-3</v>
      </c>
      <c r="AQ25" s="75">
        <f>'ggdebt lvl'!AQ25/'ggdebt lvl'!AQ40</f>
        <v>6.2758672515900709E-3</v>
      </c>
      <c r="AR25" s="75">
        <f>'ggdebt lvl'!AR25/'ggdebt lvl'!AR40</f>
        <v>6.1780686266455368E-3</v>
      </c>
      <c r="AS25" s="75">
        <f>'ggdebt lvl'!AS25/'ggdebt lvl'!AS40</f>
        <v>5.8837953564007048E-3</v>
      </c>
      <c r="AT25" s="75">
        <f>'ggdebt lvl'!AT25/'ggdebt lvl'!AT40</f>
        <v>5.7687606286597635E-3</v>
      </c>
      <c r="AU25" s="75">
        <f>'ggdebt lvl'!AU25/'ggdebt lvl'!AU40</f>
        <v>5.5567500817279248E-3</v>
      </c>
      <c r="AV25" s="75">
        <f>'ggdebt lvl'!AV25/'ggdebt lvl'!AV40</f>
        <v>5.4194462391953758E-3</v>
      </c>
      <c r="AW25" s="75">
        <f>'ggdebt lvl'!AW25/'ggdebt lvl'!AW40</f>
        <v>5.2941810562098816E-3</v>
      </c>
      <c r="AX25" s="75">
        <f>'ggdebt lvl'!AX25/'ggdebt lvl'!AX40</f>
        <v>5.2096231819650082E-3</v>
      </c>
      <c r="AY25" s="75">
        <f>'ggdebt lvl'!AY25/'ggdebt lvl'!AY40</f>
        <v>5.2994710322678005E-3</v>
      </c>
    </row>
    <row r="26" spans="1:51" ht="14.1" customHeight="1">
      <c r="A26" s="2"/>
      <c r="B26" s="2"/>
      <c r="C26" s="2" t="s">
        <v>11</v>
      </c>
      <c r="D26" s="2"/>
      <c r="E26" s="75">
        <f>'ggdebt lvl'!E26/'ggdebt lvl'!E40</f>
        <v>0</v>
      </c>
      <c r="F26" s="75">
        <f>'ggdebt lvl'!F26/'ggdebt lvl'!F40</f>
        <v>0</v>
      </c>
      <c r="G26" s="75">
        <f>'ggdebt lvl'!G26/'ggdebt lvl'!G40</f>
        <v>0</v>
      </c>
      <c r="H26" s="75">
        <f>'ggdebt lvl'!H26/'ggdebt lvl'!H40</f>
        <v>0</v>
      </c>
      <c r="I26" s="75">
        <f>'ggdebt lvl'!I26/'ggdebt lvl'!I40</f>
        <v>0</v>
      </c>
      <c r="J26" s="75">
        <f>'ggdebt lvl'!J26/'ggdebt lvl'!J40</f>
        <v>0</v>
      </c>
      <c r="K26" s="75">
        <f>'ggdebt lvl'!K26/'ggdebt lvl'!K40</f>
        <v>0</v>
      </c>
      <c r="L26" s="75">
        <f>'ggdebt lvl'!L26/'ggdebt lvl'!L40</f>
        <v>0</v>
      </c>
      <c r="M26" s="75">
        <f>'ggdebt lvl'!M26/'ggdebt lvl'!M40</f>
        <v>0</v>
      </c>
      <c r="N26" s="75">
        <f>'ggdebt lvl'!N26/'ggdebt lvl'!N40</f>
        <v>0</v>
      </c>
      <c r="O26" s="75">
        <f>'ggdebt lvl'!O26/'ggdebt lvl'!O40</f>
        <v>0</v>
      </c>
      <c r="P26" s="75">
        <f>'ggdebt lvl'!P26/'ggdebt lvl'!P40</f>
        <v>0</v>
      </c>
      <c r="Q26" s="75">
        <f>'ggdebt lvl'!Q26/'ggdebt lvl'!Q40</f>
        <v>0</v>
      </c>
      <c r="R26" s="75">
        <f>'ggdebt lvl'!R26/'ggdebt lvl'!R40</f>
        <v>0</v>
      </c>
      <c r="S26" s="75">
        <f>'ggdebt lvl'!S26/'ggdebt lvl'!S40</f>
        <v>0</v>
      </c>
      <c r="T26" s="75">
        <f>'ggdebt lvl'!T26/'ggdebt lvl'!T40</f>
        <v>0</v>
      </c>
      <c r="U26" s="75">
        <f>'ggdebt lvl'!U26/'ggdebt lvl'!U40</f>
        <v>0</v>
      </c>
      <c r="V26" s="75">
        <f>'ggdebt lvl'!V26/'ggdebt lvl'!V40</f>
        <v>0</v>
      </c>
      <c r="W26" s="75">
        <f>'ggdebt lvl'!W26/'ggdebt lvl'!W40</f>
        <v>0</v>
      </c>
      <c r="X26" s="75">
        <f>'ggdebt lvl'!X26/'ggdebt lvl'!X40</f>
        <v>0</v>
      </c>
      <c r="Y26" s="75">
        <f>'ggdebt lvl'!Y26/'ggdebt lvl'!Y40</f>
        <v>0</v>
      </c>
      <c r="Z26" s="75">
        <f>'ggdebt lvl'!Z26/'ggdebt lvl'!Z40</f>
        <v>0</v>
      </c>
      <c r="AA26" s="75">
        <f>'ggdebt lvl'!AA26/'ggdebt lvl'!AA40</f>
        <v>0</v>
      </c>
      <c r="AB26" s="75">
        <f>'ggdebt lvl'!AB26/'ggdebt lvl'!AB40</f>
        <v>0</v>
      </c>
      <c r="AC26" s="75">
        <f>'ggdebt lvl'!AC26/'ggdebt lvl'!AC40</f>
        <v>0</v>
      </c>
      <c r="AD26" s="75">
        <f>'ggdebt lvl'!AD26/'ggdebt lvl'!AD40</f>
        <v>0</v>
      </c>
      <c r="AE26" s="75">
        <f>'ggdebt lvl'!AE26/'ggdebt lvl'!AE40</f>
        <v>0</v>
      </c>
      <c r="AF26" s="75">
        <f>'ggdebt lvl'!AF26/'ggdebt lvl'!AF40</f>
        <v>0</v>
      </c>
      <c r="AG26" s="75">
        <f>'ggdebt lvl'!AG26/'ggdebt lvl'!AG40</f>
        <v>0</v>
      </c>
      <c r="AH26" s="75">
        <f>'ggdebt lvl'!AH26/'ggdebt lvl'!AH40</f>
        <v>0</v>
      </c>
      <c r="AI26" s="75">
        <f>'ggdebt lvl'!AI26/'ggdebt lvl'!AI40</f>
        <v>0</v>
      </c>
      <c r="AJ26" s="75">
        <f>'ggdebt lvl'!AJ26/'ggdebt lvl'!AJ40</f>
        <v>0</v>
      </c>
      <c r="AK26" s="75">
        <f>'ggdebt lvl'!AK26/'ggdebt lvl'!AK40</f>
        <v>0</v>
      </c>
      <c r="AL26" s="75">
        <f>'ggdebt lvl'!AL26/'ggdebt lvl'!AL40</f>
        <v>0</v>
      </c>
      <c r="AM26" s="75">
        <f>'ggdebt lvl'!AM26/'ggdebt lvl'!AM40</f>
        <v>0</v>
      </c>
      <c r="AN26" s="75">
        <f>'ggdebt lvl'!AN26/'ggdebt lvl'!AN40</f>
        <v>0</v>
      </c>
      <c r="AO26" s="75">
        <f>'ggdebt lvl'!AO26/'ggdebt lvl'!AO40</f>
        <v>0</v>
      </c>
      <c r="AP26" s="75">
        <f>'ggdebt lvl'!AP26/'ggdebt lvl'!AP40</f>
        <v>0</v>
      </c>
      <c r="AQ26" s="75">
        <f>'ggdebt lvl'!AQ26/'ggdebt lvl'!AQ40</f>
        <v>0</v>
      </c>
      <c r="AR26" s="75">
        <f>'ggdebt lvl'!AR26/'ggdebt lvl'!AR40</f>
        <v>0</v>
      </c>
      <c r="AS26" s="75">
        <f>'ggdebt lvl'!AS26/'ggdebt lvl'!AS40</f>
        <v>0</v>
      </c>
      <c r="AT26" s="75">
        <f>'ggdebt lvl'!AT26/'ggdebt lvl'!AT40</f>
        <v>0</v>
      </c>
      <c r="AU26" s="75">
        <f>'ggdebt lvl'!AU26/'ggdebt lvl'!AU40</f>
        <v>0</v>
      </c>
      <c r="AV26" s="75">
        <f>'ggdebt lvl'!AV26/'ggdebt lvl'!AV40</f>
        <v>0</v>
      </c>
      <c r="AW26" s="75">
        <f>'ggdebt lvl'!AW26/'ggdebt lvl'!AW40</f>
        <v>0</v>
      </c>
      <c r="AX26" s="75">
        <f>'ggdebt lvl'!AX26/'ggdebt lvl'!AX40</f>
        <v>0</v>
      </c>
      <c r="AY26" s="75">
        <f>'ggdebt lvl'!AY26/'ggdebt lvl'!AY40</f>
        <v>0</v>
      </c>
    </row>
    <row r="27" spans="1:51" ht="14.1" customHeight="1">
      <c r="A27" s="2"/>
      <c r="B27" s="2"/>
      <c r="C27" s="2"/>
      <c r="D27" s="2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ht="14.1" customHeight="1">
      <c r="A28" s="11" t="s">
        <v>22</v>
      </c>
      <c r="B28" s="12" t="s">
        <v>23</v>
      </c>
      <c r="C28" s="12"/>
      <c r="D28" s="12"/>
      <c r="E28" s="76">
        <f>'ggdebt lvl'!E28/'ggdebt lvl'!E40</f>
        <v>0.70851883665413529</v>
      </c>
      <c r="F28" s="76">
        <f>'ggdebt lvl'!F28/'ggdebt lvl'!F40</f>
        <v>0.69066760475617206</v>
      </c>
      <c r="G28" s="76">
        <f>'ggdebt lvl'!G28/'ggdebt lvl'!G40</f>
        <v>0.70342314342378132</v>
      </c>
      <c r="H28" s="76">
        <f>'ggdebt lvl'!H28/'ggdebt lvl'!H40</f>
        <v>0.68389859103767547</v>
      </c>
      <c r="I28" s="76">
        <f>'ggdebt lvl'!I28/'ggdebt lvl'!I40</f>
        <v>0.67594755056444733</v>
      </c>
      <c r="J28" s="76">
        <f>'ggdebt lvl'!J28/'ggdebt lvl'!J40</f>
        <v>0.66717347004346816</v>
      </c>
      <c r="K28" s="76">
        <f>'ggdebt lvl'!K28/'ggdebt lvl'!K40</f>
        <v>0.66948445538839474</v>
      </c>
      <c r="L28" s="76">
        <f>'ggdebt lvl'!L28/'ggdebt lvl'!L40</f>
        <v>0.61904724330934791</v>
      </c>
      <c r="M28" s="76">
        <f>'ggdebt lvl'!M28/'ggdebt lvl'!M40</f>
        <v>0.61236032992071932</v>
      </c>
      <c r="N28" s="76">
        <f>'ggdebt lvl'!N28/'ggdebt lvl'!N40</f>
        <v>0.59433143805246846</v>
      </c>
      <c r="O28" s="76">
        <f>'ggdebt lvl'!O28/'ggdebt lvl'!O40</f>
        <v>0.56941652457021508</v>
      </c>
      <c r="P28" s="76">
        <f>'ggdebt lvl'!P28/'ggdebt lvl'!P40</f>
        <v>0.5439864908648212</v>
      </c>
      <c r="Q28" s="76">
        <f>'ggdebt lvl'!Q28/'ggdebt lvl'!Q40</f>
        <v>0.53913383210618426</v>
      </c>
      <c r="R28" s="76">
        <f>'ggdebt lvl'!R28/'ggdebt lvl'!R40</f>
        <v>0.49632980550352096</v>
      </c>
      <c r="S28" s="76">
        <f>'ggdebt lvl'!S28/'ggdebt lvl'!S40</f>
        <v>0.49657231204095875</v>
      </c>
      <c r="T28" s="76">
        <f>'ggdebt lvl'!T28/'ggdebt lvl'!T40</f>
        <v>0.46764199037889975</v>
      </c>
      <c r="U28" s="76">
        <f>'ggdebt lvl'!U28/'ggdebt lvl'!U40</f>
        <v>0.46923452240253333</v>
      </c>
      <c r="V28" s="76">
        <f>'ggdebt lvl'!V28/'ggdebt lvl'!V40</f>
        <v>0.46823642942560312</v>
      </c>
      <c r="W28" s="76">
        <f>'ggdebt lvl'!W28/'ggdebt lvl'!W40</f>
        <v>0.46917728183693236</v>
      </c>
      <c r="X28" s="76">
        <f>'ggdebt lvl'!X28/'ggdebt lvl'!X40</f>
        <v>0.47388141595292282</v>
      </c>
      <c r="Y28" s="76">
        <f>'ggdebt lvl'!Y28/'ggdebt lvl'!Y40</f>
        <v>0.4716874376717986</v>
      </c>
      <c r="Z28" s="76">
        <f>'ggdebt lvl'!Z28/'ggdebt lvl'!Z40</f>
        <v>0.46726793895340246</v>
      </c>
      <c r="AA28" s="76">
        <f>'ggdebt lvl'!AA28/'ggdebt lvl'!AA40</f>
        <v>0.47795140315146262</v>
      </c>
      <c r="AB28" s="76">
        <f>'ggdebt lvl'!AB28/'ggdebt lvl'!AB40</f>
        <v>0.47796017223578996</v>
      </c>
      <c r="AC28" s="76">
        <f>'ggdebt lvl'!AC28/'ggdebt lvl'!AC40</f>
        <v>0.46301031039153479</v>
      </c>
      <c r="AD28" s="76">
        <f>'ggdebt lvl'!AD28/'ggdebt lvl'!AD40</f>
        <v>0.46498257308001406</v>
      </c>
      <c r="AE28" s="76">
        <f>'ggdebt lvl'!AE28/'ggdebt lvl'!AE40</f>
        <v>0.46629843721496517</v>
      </c>
      <c r="AF28" s="76">
        <f>'ggdebt lvl'!AF28/'ggdebt lvl'!AF40</f>
        <v>0.45698245247264946</v>
      </c>
      <c r="AG28" s="76">
        <f>'ggdebt lvl'!AG28/'ggdebt lvl'!AG40</f>
        <v>0.47003361758408557</v>
      </c>
      <c r="AH28" s="76">
        <f>'ggdebt lvl'!AH28/'ggdebt lvl'!AH40</f>
        <v>0.47126374095411955</v>
      </c>
      <c r="AI28" s="76">
        <f>'ggdebt lvl'!AI28/'ggdebt lvl'!AI40</f>
        <v>0.47270108674212968</v>
      </c>
      <c r="AJ28" s="76">
        <f>'ggdebt lvl'!AJ28/'ggdebt lvl'!AJ40</f>
        <v>0.45663843000547988</v>
      </c>
      <c r="AK28" s="76">
        <f>'ggdebt lvl'!AK28/'ggdebt lvl'!AK40</f>
        <v>0.46858712605552333</v>
      </c>
      <c r="AL28" s="76">
        <f>'ggdebt lvl'!AL28/'ggdebt lvl'!AL40</f>
        <v>0.45574241443310642</v>
      </c>
      <c r="AM28" s="76">
        <f>'ggdebt lvl'!AM28/'ggdebt lvl'!AM40</f>
        <v>0.44557944477623557</v>
      </c>
      <c r="AN28" s="76">
        <f>'ggdebt lvl'!AN28/'ggdebt lvl'!AN40</f>
        <v>0.44934219574881157</v>
      </c>
      <c r="AO28" s="76">
        <f>'ggdebt lvl'!AO28/'ggdebt lvl'!AO40</f>
        <v>0.4274737874589305</v>
      </c>
      <c r="AP28" s="76">
        <f>'ggdebt lvl'!AP28/'ggdebt lvl'!AP40</f>
        <v>0.43263688141010082</v>
      </c>
      <c r="AQ28" s="76">
        <f>'ggdebt lvl'!AQ28/'ggdebt lvl'!AQ40</f>
        <v>0.43819065597991852</v>
      </c>
      <c r="AR28" s="76">
        <f>'ggdebt lvl'!AR28/'ggdebt lvl'!AR40</f>
        <v>0.43358106401248164</v>
      </c>
      <c r="AS28" s="76">
        <f>'ggdebt lvl'!AS28/'ggdebt lvl'!AS40</f>
        <v>0.42184162490185334</v>
      </c>
      <c r="AT28" s="76">
        <f>'ggdebt lvl'!AT28/'ggdebt lvl'!AT40</f>
        <v>0.41298744236292567</v>
      </c>
      <c r="AU28" s="76">
        <f>'ggdebt lvl'!AU28/'ggdebt lvl'!AU40</f>
        <v>0.4115910700918281</v>
      </c>
      <c r="AV28" s="76">
        <f>'ggdebt lvl'!AV28/'ggdebt lvl'!AV40</f>
        <v>0.40274402614025473</v>
      </c>
      <c r="AW28" s="76">
        <f>'ggdebt lvl'!AW28/'ggdebt lvl'!AW40</f>
        <v>0.40139079206770872</v>
      </c>
      <c r="AX28" s="76">
        <f>'ggdebt lvl'!AX28/'ggdebt lvl'!AX40</f>
        <v>0.39937783024729973</v>
      </c>
      <c r="AY28" s="76">
        <f>'ggdebt lvl'!AY28/'ggdebt lvl'!AY40</f>
        <v>0.4054677105998154</v>
      </c>
    </row>
    <row r="29" spans="1:51" ht="14.1" customHeight="1">
      <c r="A29" s="2"/>
      <c r="B29" s="2"/>
      <c r="C29" s="2" t="s">
        <v>10</v>
      </c>
      <c r="D29" s="2"/>
      <c r="E29" s="75">
        <f>'ggdebt lvl'!E29/'ggdebt lvl'!E40</f>
        <v>0.33198193343523968</v>
      </c>
      <c r="F29" s="75">
        <f>'ggdebt lvl'!F29/'ggdebt lvl'!F40</f>
        <v>0.3255742331906652</v>
      </c>
      <c r="G29" s="75">
        <f>'ggdebt lvl'!G29/'ggdebt lvl'!G40</f>
        <v>0.33644235117106686</v>
      </c>
      <c r="H29" s="75">
        <f>'ggdebt lvl'!H29/'ggdebt lvl'!H40</f>
        <v>0.32140579267191166</v>
      </c>
      <c r="I29" s="75">
        <f>'ggdebt lvl'!I29/'ggdebt lvl'!I40</f>
        <v>0.32292130247628764</v>
      </c>
      <c r="J29" s="75">
        <f>'ggdebt lvl'!J29/'ggdebt lvl'!J40</f>
        <v>0.31510671677337504</v>
      </c>
      <c r="K29" s="75">
        <f>'ggdebt lvl'!K29/'ggdebt lvl'!K40</f>
        <v>0.32284010994107043</v>
      </c>
      <c r="L29" s="75">
        <f>'ggdebt lvl'!L29/'ggdebt lvl'!L40</f>
        <v>0.30922380881505701</v>
      </c>
      <c r="M29" s="75">
        <f>'ggdebt lvl'!M29/'ggdebt lvl'!M40</f>
        <v>0.30241370819634594</v>
      </c>
      <c r="N29" s="75">
        <f>'ggdebt lvl'!N29/'ggdebt lvl'!N40</f>
        <v>0.28482419033948048</v>
      </c>
      <c r="O29" s="75">
        <f>'ggdebt lvl'!O29/'ggdebt lvl'!O40</f>
        <v>0.27899550243303251</v>
      </c>
      <c r="P29" s="75">
        <f>'ggdebt lvl'!P29/'ggdebt lvl'!P40</f>
        <v>0.2727165126903297</v>
      </c>
      <c r="Q29" s="75">
        <f>'ggdebt lvl'!Q29/'ggdebt lvl'!Q40</f>
        <v>0.26488146766349069</v>
      </c>
      <c r="R29" s="75">
        <f>'ggdebt lvl'!R29/'ggdebt lvl'!R40</f>
        <v>0.24336451406633977</v>
      </c>
      <c r="S29" s="75">
        <f>'ggdebt lvl'!S29/'ggdebt lvl'!S40</f>
        <v>0.25440512705073426</v>
      </c>
      <c r="T29" s="75">
        <f>'ggdebt lvl'!T29/'ggdebt lvl'!T40</f>
        <v>0.24863844919897091</v>
      </c>
      <c r="U29" s="75">
        <f>'ggdebt lvl'!U29/'ggdebt lvl'!U40</f>
        <v>0.24259624341856936</v>
      </c>
      <c r="V29" s="75">
        <f>'ggdebt lvl'!V29/'ggdebt lvl'!V40</f>
        <v>0.23960512569051656</v>
      </c>
      <c r="W29" s="75">
        <f>'ggdebt lvl'!W29/'ggdebt lvl'!W40</f>
        <v>0.2390119711868314</v>
      </c>
      <c r="X29" s="75">
        <f>'ggdebt lvl'!X29/'ggdebt lvl'!X40</f>
        <v>0.24004397409814368</v>
      </c>
      <c r="Y29" s="75">
        <f>'ggdebt lvl'!Y29/'ggdebt lvl'!Y40</f>
        <v>0.23623849336218053</v>
      </c>
      <c r="Z29" s="75">
        <f>'ggdebt lvl'!Z29/'ggdebt lvl'!Z40</f>
        <v>0.23220263472790664</v>
      </c>
      <c r="AA29" s="75">
        <f>'ggdebt lvl'!AA29/'ggdebt lvl'!AA40</f>
        <v>0.23594463309830388</v>
      </c>
      <c r="AB29" s="75">
        <f>'ggdebt lvl'!AB29/'ggdebt lvl'!AB40</f>
        <v>0.23825266158045524</v>
      </c>
      <c r="AC29" s="75">
        <f>'ggdebt lvl'!AC29/'ggdebt lvl'!AC40</f>
        <v>0.23051131880385167</v>
      </c>
      <c r="AD29" s="75">
        <f>'ggdebt lvl'!AD29/'ggdebt lvl'!AD40</f>
        <v>0.2323769471325898</v>
      </c>
      <c r="AE29" s="75">
        <f>'ggdebt lvl'!AE29/'ggdebt lvl'!AE40</f>
        <v>0.24206533323231011</v>
      </c>
      <c r="AF29" s="75">
        <f>'ggdebt lvl'!AF29/'ggdebt lvl'!AF40</f>
        <v>0.24125586107039279</v>
      </c>
      <c r="AG29" s="75">
        <f>'ggdebt lvl'!AG29/'ggdebt lvl'!AG40</f>
        <v>0.24819060886873506</v>
      </c>
      <c r="AH29" s="75">
        <f>'ggdebt lvl'!AH29/'ggdebt lvl'!AH40</f>
        <v>0.25234602237947934</v>
      </c>
      <c r="AI29" s="75">
        <f>'ggdebt lvl'!AI29/'ggdebt lvl'!AI40</f>
        <v>0.25320605842260252</v>
      </c>
      <c r="AJ29" s="75">
        <f>'ggdebt lvl'!AJ29/'ggdebt lvl'!AJ40</f>
        <v>0.24864144516586523</v>
      </c>
      <c r="AK29" s="75">
        <f>'ggdebt lvl'!AK29/'ggdebt lvl'!AK40</f>
        <v>0.25871986267062475</v>
      </c>
      <c r="AL29" s="75">
        <f>'ggdebt lvl'!AL29/'ggdebt lvl'!AL40</f>
        <v>0.25223098232506808</v>
      </c>
      <c r="AM29" s="75">
        <f>'ggdebt lvl'!AM29/'ggdebt lvl'!AM40</f>
        <v>0.24873634078211779</v>
      </c>
      <c r="AN29" s="75">
        <f>'ggdebt lvl'!AN29/'ggdebt lvl'!AN40</f>
        <v>0.27012497676694325</v>
      </c>
      <c r="AO29" s="75">
        <f>'ggdebt lvl'!AO29/'ggdebt lvl'!AO40</f>
        <v>0.26027206262150343</v>
      </c>
      <c r="AP29" s="75">
        <f>'ggdebt lvl'!AP29/'ggdebt lvl'!AP40</f>
        <v>0.2626296513106659</v>
      </c>
      <c r="AQ29" s="75">
        <f>'ggdebt lvl'!AQ29/'ggdebt lvl'!AQ40</f>
        <v>0.27342029214967484</v>
      </c>
      <c r="AR29" s="75">
        <f>'ggdebt lvl'!AR29/'ggdebt lvl'!AR40</f>
        <v>0.27169883375064263</v>
      </c>
      <c r="AS29" s="75">
        <f>'ggdebt lvl'!AS29/'ggdebt lvl'!AS40</f>
        <v>0.26165614424294653</v>
      </c>
      <c r="AT29" s="75">
        <f>'ggdebt lvl'!AT29/'ggdebt lvl'!AT40</f>
        <v>0.26052116028521782</v>
      </c>
      <c r="AU29" s="75">
        <f>'ggdebt lvl'!AU29/'ggdebt lvl'!AU40</f>
        <v>0.25869761190402896</v>
      </c>
      <c r="AV29" s="75">
        <f>'ggdebt lvl'!AV29/'ggdebt lvl'!AV40</f>
        <v>0.25748312138039897</v>
      </c>
      <c r="AW29" s="75">
        <f>'ggdebt lvl'!AW29/'ggdebt lvl'!AW40</f>
        <v>0.25635199066059272</v>
      </c>
      <c r="AX29" s="75">
        <f>'ggdebt lvl'!AX29/'ggdebt lvl'!AX40</f>
        <v>0.25310894513603299</v>
      </c>
      <c r="AY29" s="75">
        <f>'ggdebt lvl'!AY29/'ggdebt lvl'!AY40</f>
        <v>0.25515230902863539</v>
      </c>
    </row>
    <row r="30" spans="1:51" ht="14.1" customHeight="1">
      <c r="A30" s="2"/>
      <c r="B30" s="2"/>
      <c r="C30" s="2" t="s">
        <v>11</v>
      </c>
      <c r="D30" s="25"/>
      <c r="E30" s="75">
        <f>'ggdebt lvl'!E30/'ggdebt lvl'!E40</f>
        <v>0.3765369032188956</v>
      </c>
      <c r="F30" s="75">
        <f>'ggdebt lvl'!F30/'ggdebt lvl'!F40</f>
        <v>0.36509337156550686</v>
      </c>
      <c r="G30" s="75">
        <f>'ggdebt lvl'!G30/'ggdebt lvl'!G40</f>
        <v>0.36698079225271452</v>
      </c>
      <c r="H30" s="75">
        <f>'ggdebt lvl'!H30/'ggdebt lvl'!H40</f>
        <v>0.36249279836576381</v>
      </c>
      <c r="I30" s="75">
        <f>'ggdebt lvl'!I30/'ggdebt lvl'!I40</f>
        <v>0.35302624808815963</v>
      </c>
      <c r="J30" s="75">
        <f>'ggdebt lvl'!J30/'ggdebt lvl'!J40</f>
        <v>0.35206675327009312</v>
      </c>
      <c r="K30" s="75">
        <f>'ggdebt lvl'!K30/'ggdebt lvl'!K40</f>
        <v>0.34664434544732431</v>
      </c>
      <c r="L30" s="75">
        <f>'ggdebt lvl'!L30/'ggdebt lvl'!L40</f>
        <v>0.30982343449429089</v>
      </c>
      <c r="M30" s="75">
        <f>'ggdebt lvl'!M30/'ggdebt lvl'!M40</f>
        <v>0.30994662172437343</v>
      </c>
      <c r="N30" s="75">
        <f>'ggdebt lvl'!N30/'ggdebt lvl'!N40</f>
        <v>0.30950724771298804</v>
      </c>
      <c r="O30" s="75">
        <f>'ggdebt lvl'!O30/'ggdebt lvl'!O40</f>
        <v>0.29042102213718257</v>
      </c>
      <c r="P30" s="75">
        <f>'ggdebt lvl'!P30/'ggdebt lvl'!P40</f>
        <v>0.27126997817449156</v>
      </c>
      <c r="Q30" s="75">
        <f>'ggdebt lvl'!Q30/'ggdebt lvl'!Q40</f>
        <v>0.27425236444269357</v>
      </c>
      <c r="R30" s="75">
        <f>'ggdebt lvl'!R30/'ggdebt lvl'!R40</f>
        <v>0.25296529143718127</v>
      </c>
      <c r="S30" s="75">
        <f>'ggdebt lvl'!S30/'ggdebt lvl'!S40</f>
        <v>0.24216718499022449</v>
      </c>
      <c r="T30" s="75">
        <f>'ggdebt lvl'!T30/'ggdebt lvl'!T40</f>
        <v>0.21900354117992879</v>
      </c>
      <c r="U30" s="75">
        <f>'ggdebt lvl'!U30/'ggdebt lvl'!U40</f>
        <v>0.22663827898396399</v>
      </c>
      <c r="V30" s="75">
        <f>'ggdebt lvl'!V30/'ggdebt lvl'!V40</f>
        <v>0.22863130373508656</v>
      </c>
      <c r="W30" s="75">
        <f>'ggdebt lvl'!W30/'ggdebt lvl'!W40</f>
        <v>0.2301653106501009</v>
      </c>
      <c r="X30" s="75">
        <f>'ggdebt lvl'!X30/'ggdebt lvl'!X40</f>
        <v>0.23383744185477912</v>
      </c>
      <c r="Y30" s="75">
        <f>'ggdebt lvl'!Y30/'ggdebt lvl'!Y40</f>
        <v>0.23544894430961807</v>
      </c>
      <c r="Z30" s="75">
        <f>'ggdebt lvl'!Z30/'ggdebt lvl'!Z40</f>
        <v>0.23506530422549582</v>
      </c>
      <c r="AA30" s="75">
        <f>'ggdebt lvl'!AA30/'ggdebt lvl'!AA40</f>
        <v>0.24200677005315871</v>
      </c>
      <c r="AB30" s="75">
        <f>'ggdebt lvl'!AB30/'ggdebt lvl'!AB40</f>
        <v>0.23970751065533469</v>
      </c>
      <c r="AC30" s="75">
        <f>'ggdebt lvl'!AC30/'ggdebt lvl'!AC40</f>
        <v>0.23249899158768306</v>
      </c>
      <c r="AD30" s="75">
        <f>'ggdebt lvl'!AD30/'ggdebt lvl'!AD40</f>
        <v>0.23260562594742423</v>
      </c>
      <c r="AE30" s="75">
        <f>'ggdebt lvl'!AE30/'ggdebt lvl'!AE40</f>
        <v>0.22423310398265503</v>
      </c>
      <c r="AF30" s="75">
        <f>'ggdebt lvl'!AF30/'ggdebt lvl'!AF40</f>
        <v>0.2157265914022567</v>
      </c>
      <c r="AG30" s="75">
        <f>'ggdebt lvl'!AG30/'ggdebt lvl'!AG40</f>
        <v>0.22184300871535045</v>
      </c>
      <c r="AH30" s="75">
        <f>'ggdebt lvl'!AH30/'ggdebt lvl'!AH40</f>
        <v>0.21891771857464021</v>
      </c>
      <c r="AI30" s="75">
        <f>'ggdebt lvl'!AI30/'ggdebt lvl'!AI40</f>
        <v>0.21949502831952716</v>
      </c>
      <c r="AJ30" s="75">
        <f>'ggdebt lvl'!AJ30/'ggdebt lvl'!AJ40</f>
        <v>0.2079969848396146</v>
      </c>
      <c r="AK30" s="75">
        <f>'ggdebt lvl'!AK30/'ggdebt lvl'!AK40</f>
        <v>0.20986726338489853</v>
      </c>
      <c r="AL30" s="75">
        <f>'ggdebt lvl'!AL30/'ggdebt lvl'!AL40</f>
        <v>0.20351143210803832</v>
      </c>
      <c r="AM30" s="75">
        <f>'ggdebt lvl'!AM30/'ggdebt lvl'!AM40</f>
        <v>0.19684310399411781</v>
      </c>
      <c r="AN30" s="75">
        <f>'ggdebt lvl'!AN30/'ggdebt lvl'!AN40</f>
        <v>0.17921721898186826</v>
      </c>
      <c r="AO30" s="75">
        <f>'ggdebt lvl'!AO30/'ggdebt lvl'!AO40</f>
        <v>0.16720172483742712</v>
      </c>
      <c r="AP30" s="75">
        <f>'ggdebt lvl'!AP30/'ggdebt lvl'!AP40</f>
        <v>0.17000723009943497</v>
      </c>
      <c r="AQ30" s="75">
        <f>'ggdebt lvl'!AQ30/'ggdebt lvl'!AQ40</f>
        <v>0.16477036383024363</v>
      </c>
      <c r="AR30" s="75">
        <f>'ggdebt lvl'!AR30/'ggdebt lvl'!AR40</f>
        <v>0.16188223026183896</v>
      </c>
      <c r="AS30" s="75">
        <f>'ggdebt lvl'!AS30/'ggdebt lvl'!AS40</f>
        <v>0.16018548065890678</v>
      </c>
      <c r="AT30" s="75">
        <f>'ggdebt lvl'!AT30/'ggdebt lvl'!AT40</f>
        <v>0.15246628207770788</v>
      </c>
      <c r="AU30" s="75">
        <f>'ggdebt lvl'!AU30/'ggdebt lvl'!AU40</f>
        <v>0.1528934581877992</v>
      </c>
      <c r="AV30" s="75">
        <f>'ggdebt lvl'!AV30/'ggdebt lvl'!AV40</f>
        <v>0.14526090475985576</v>
      </c>
      <c r="AW30" s="75">
        <f>'ggdebt lvl'!AW30/'ggdebt lvl'!AW40</f>
        <v>0.14503880140711597</v>
      </c>
      <c r="AX30" s="75">
        <f>'ggdebt lvl'!AX30/'ggdebt lvl'!AX40</f>
        <v>0.14626888511126673</v>
      </c>
      <c r="AY30" s="75">
        <f>'ggdebt lvl'!AY30/'ggdebt lvl'!AY40</f>
        <v>0.15031540157118001</v>
      </c>
    </row>
    <row r="31" spans="1:51" ht="14.1" customHeight="1">
      <c r="A31" s="2"/>
      <c r="B31" s="2"/>
      <c r="C31" s="2"/>
      <c r="D31" s="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ht="14.1" customHeight="1">
      <c r="A32" s="23" t="s">
        <v>24</v>
      </c>
      <c r="B32" s="46" t="s">
        <v>25</v>
      </c>
      <c r="C32" s="24"/>
      <c r="D32" s="24"/>
      <c r="E32" s="77">
        <f>'ggdebt lvl'!E32/'ggdebt lvl'!E40</f>
        <v>2.7773552568153826E-2</v>
      </c>
      <c r="F32" s="77">
        <f>'ggdebt lvl'!F32/'ggdebt lvl'!F40</f>
        <v>2.7738697478572355E-2</v>
      </c>
      <c r="G32" s="77">
        <f>'ggdebt lvl'!G32/'ggdebt lvl'!G40</f>
        <v>2.6889756238163066E-2</v>
      </c>
      <c r="H32" s="77">
        <f>'ggdebt lvl'!H32/'ggdebt lvl'!H40</f>
        <v>2.5855225190828508E-2</v>
      </c>
      <c r="I32" s="77">
        <f>'ggdebt lvl'!I32/'ggdebt lvl'!I40</f>
        <v>2.6251140617783202E-2</v>
      </c>
      <c r="J32" s="77">
        <f>'ggdebt lvl'!J32/'ggdebt lvl'!J40</f>
        <v>2.5015604583384539E-2</v>
      </c>
      <c r="K32" s="77">
        <f>'ggdebt lvl'!K32/'ggdebt lvl'!K40</f>
        <v>2.6607464077658651E-2</v>
      </c>
      <c r="L32" s="77">
        <f>'ggdebt lvl'!L32/'ggdebt lvl'!L40</f>
        <v>2.7359429351415613E-2</v>
      </c>
      <c r="M32" s="77">
        <f>'ggdebt lvl'!M32/'ggdebt lvl'!M40</f>
        <v>2.8398499694130396E-2</v>
      </c>
      <c r="N32" s="77">
        <f>'ggdebt lvl'!N32/'ggdebt lvl'!N40</f>
        <v>2.7423137454019246E-2</v>
      </c>
      <c r="O32" s="77">
        <f>'ggdebt lvl'!O32/'ggdebt lvl'!O40</f>
        <v>2.8038631221219617E-2</v>
      </c>
      <c r="P32" s="77">
        <f>'ggdebt lvl'!P32/'ggdebt lvl'!P40</f>
        <v>2.8926308071662049E-2</v>
      </c>
      <c r="Q32" s="77">
        <f>'ggdebt lvl'!Q32/'ggdebt lvl'!Q40</f>
        <v>2.8024110300251037E-2</v>
      </c>
      <c r="R32" s="77">
        <f>'ggdebt lvl'!R32/'ggdebt lvl'!R40</f>
        <v>2.5927774325139465E-2</v>
      </c>
      <c r="S32" s="77">
        <f>'ggdebt lvl'!S32/'ggdebt lvl'!S40</f>
        <v>2.760166049885587E-2</v>
      </c>
      <c r="T32" s="77">
        <f>'ggdebt lvl'!T32/'ggdebt lvl'!T40</f>
        <v>2.5981393215071379E-2</v>
      </c>
      <c r="U32" s="77">
        <f>'ggdebt lvl'!U32/'ggdebt lvl'!U40</f>
        <v>2.8946351034655145E-2</v>
      </c>
      <c r="V32" s="77">
        <f>'ggdebt lvl'!V32/'ggdebt lvl'!V40</f>
        <v>3.0027775391225992E-2</v>
      </c>
      <c r="W32" s="77">
        <f>'ggdebt lvl'!W32/'ggdebt lvl'!W40</f>
        <v>2.9469789476564257E-2</v>
      </c>
      <c r="X32" s="77">
        <f>'ggdebt lvl'!X32/'ggdebt lvl'!X40</f>
        <v>3.2676381662027097E-2</v>
      </c>
      <c r="Y32" s="77">
        <f>'ggdebt lvl'!Y32/'ggdebt lvl'!Y40</f>
        <v>3.1902433648354253E-2</v>
      </c>
      <c r="Z32" s="77">
        <f>'ggdebt lvl'!Z32/'ggdebt lvl'!Z40</f>
        <v>2.9876723152408018E-2</v>
      </c>
      <c r="AA32" s="77">
        <f>'ggdebt lvl'!AA32/'ggdebt lvl'!AA40</f>
        <v>3.2057523818612647E-2</v>
      </c>
      <c r="AB32" s="77">
        <f>'ggdebt lvl'!AB32/'ggdebt lvl'!AB40</f>
        <v>3.4944448690658769E-2</v>
      </c>
      <c r="AC32" s="77">
        <f>'ggdebt lvl'!AC32/'ggdebt lvl'!AC40</f>
        <v>3.7158995641538052E-2</v>
      </c>
      <c r="AD32" s="77">
        <f>'ggdebt lvl'!AD32/'ggdebt lvl'!AD40</f>
        <v>3.7207277223413694E-2</v>
      </c>
      <c r="AE32" s="77">
        <f>'ggdebt lvl'!AE32/'ggdebt lvl'!AE40</f>
        <v>3.5699054699704663E-2</v>
      </c>
      <c r="AF32" s="77">
        <f>'ggdebt lvl'!AF32/'ggdebt lvl'!AF40</f>
        <v>3.4993936423344085E-2</v>
      </c>
      <c r="AG32" s="77">
        <f>'ggdebt lvl'!AG32/'ggdebt lvl'!AG40</f>
        <v>3.7023676083941547E-2</v>
      </c>
      <c r="AH32" s="77">
        <f>'ggdebt lvl'!AH32/'ggdebt lvl'!AH40</f>
        <v>4.0965323566327629E-2</v>
      </c>
      <c r="AI32" s="77">
        <f>'ggdebt lvl'!AI32/'ggdebt lvl'!AI40</f>
        <v>4.2605923593961759E-2</v>
      </c>
      <c r="AJ32" s="77">
        <f>'ggdebt lvl'!AJ32/'ggdebt lvl'!AJ40</f>
        <v>4.2523781872138088E-2</v>
      </c>
      <c r="AK32" s="77">
        <f>'ggdebt lvl'!AK32/'ggdebt lvl'!AK40</f>
        <v>4.3751548624276486E-2</v>
      </c>
      <c r="AL32" s="77">
        <f>'ggdebt lvl'!AL32/'ggdebt lvl'!AL40</f>
        <v>4.3543305886211678E-2</v>
      </c>
      <c r="AM32" s="77">
        <f>'ggdebt lvl'!AM32/'ggdebt lvl'!AM40</f>
        <v>4.25865667981042E-2</v>
      </c>
      <c r="AN32" s="77">
        <f>'ggdebt lvl'!AN32/'ggdebt lvl'!AN40</f>
        <v>4.3259273246734307E-2</v>
      </c>
      <c r="AO32" s="77">
        <f>'ggdebt lvl'!AO32/'ggdebt lvl'!AO40</f>
        <v>4.2114780512119067E-2</v>
      </c>
      <c r="AP32" s="77">
        <f>'ggdebt lvl'!AP32/'ggdebt lvl'!AP40</f>
        <v>4.1220050318018168E-2</v>
      </c>
      <c r="AQ32" s="77">
        <f>'ggdebt lvl'!AQ32/'ggdebt lvl'!AQ40</f>
        <v>4.1291782204222097E-2</v>
      </c>
      <c r="AR32" s="77">
        <f>'ggdebt lvl'!AR32/'ggdebt lvl'!AR40</f>
        <v>4.1122703076323014E-2</v>
      </c>
      <c r="AS32" s="77">
        <f>'ggdebt lvl'!AS32/'ggdebt lvl'!AS40</f>
        <v>4.0822325051602784E-2</v>
      </c>
      <c r="AT32" s="77">
        <f>'ggdebt lvl'!AT32/'ggdebt lvl'!AT40</f>
        <v>4.0232197633486851E-2</v>
      </c>
      <c r="AU32" s="77">
        <f>'ggdebt lvl'!AU32/'ggdebt lvl'!AU40</f>
        <v>3.9524752018937341E-2</v>
      </c>
      <c r="AV32" s="77">
        <f>'ggdebt lvl'!AV32/'ggdebt lvl'!AV40</f>
        <v>3.8697319947201297E-2</v>
      </c>
      <c r="AW32" s="77">
        <f>'ggdebt lvl'!AW32/'ggdebt lvl'!AW40</f>
        <v>3.7957920260208618E-2</v>
      </c>
      <c r="AX32" s="77">
        <f>'ggdebt lvl'!AX32/'ggdebt lvl'!AX40</f>
        <v>3.7826526928926886E-2</v>
      </c>
      <c r="AY32" s="77">
        <f>'ggdebt lvl'!AY32/'ggdebt lvl'!AY40</f>
        <v>3.7635220801768669E-2</v>
      </c>
    </row>
    <row r="33" spans="1:51" ht="14.1" customHeight="1">
      <c r="A33" s="2"/>
      <c r="B33" s="2"/>
      <c r="C33" s="2" t="s">
        <v>26</v>
      </c>
      <c r="D33" s="2"/>
      <c r="E33" s="75">
        <f>'ggdebt lvl'!E33/'ggdebt lvl'!E40</f>
        <v>2.7552889507792836E-2</v>
      </c>
      <c r="F33" s="75">
        <f>'ggdebt lvl'!F33/'ggdebt lvl'!F40</f>
        <v>2.7466382627726056E-2</v>
      </c>
      <c r="G33" s="75">
        <f>'ggdebt lvl'!G33/'ggdebt lvl'!G40</f>
        <v>2.6633413418597932E-2</v>
      </c>
      <c r="H33" s="75">
        <f>'ggdebt lvl'!H33/'ggdebt lvl'!H40</f>
        <v>2.5675552955950028E-2</v>
      </c>
      <c r="I33" s="75">
        <f>'ggdebt lvl'!I33/'ggdebt lvl'!I40</f>
        <v>2.5947802583028295E-2</v>
      </c>
      <c r="J33" s="75">
        <f>'ggdebt lvl'!J33/'ggdebt lvl'!J40</f>
        <v>2.4746399991979556E-2</v>
      </c>
      <c r="K33" s="75">
        <f>'ggdebt lvl'!K33/'ggdebt lvl'!K40</f>
        <v>2.6315751328833108E-2</v>
      </c>
      <c r="L33" s="75">
        <f>'ggdebt lvl'!L33/'ggdebt lvl'!L40</f>
        <v>2.7112852802606665E-2</v>
      </c>
      <c r="M33" s="75">
        <f>'ggdebt lvl'!M33/'ggdebt lvl'!M40</f>
        <v>2.8158198095026239E-2</v>
      </c>
      <c r="N33" s="75">
        <f>'ggdebt lvl'!N33/'ggdebt lvl'!N40</f>
        <v>2.7172025152077797E-2</v>
      </c>
      <c r="O33" s="75">
        <f>'ggdebt lvl'!O33/'ggdebt lvl'!O40</f>
        <v>2.7830792187478012E-2</v>
      </c>
      <c r="P33" s="75">
        <f>'ggdebt lvl'!P33/'ggdebt lvl'!P40</f>
        <v>2.8061807414485076E-2</v>
      </c>
      <c r="Q33" s="75">
        <f>'ggdebt lvl'!Q33/'ggdebt lvl'!Q40</f>
        <v>2.7217357668485841E-2</v>
      </c>
      <c r="R33" s="75">
        <f>'ggdebt lvl'!R33/'ggdebt lvl'!R40</f>
        <v>2.5863830313298253E-2</v>
      </c>
      <c r="S33" s="75">
        <f>'ggdebt lvl'!S33/'ggdebt lvl'!S40</f>
        <v>2.6900048974254812E-2</v>
      </c>
      <c r="T33" s="75">
        <f>'ggdebt lvl'!T33/'ggdebt lvl'!T40</f>
        <v>2.5532732283810707E-2</v>
      </c>
      <c r="U33" s="75">
        <f>'ggdebt lvl'!U33/'ggdebt lvl'!U40</f>
        <v>2.8549300542847624E-2</v>
      </c>
      <c r="V33" s="75">
        <f>'ggdebt lvl'!V33/'ggdebt lvl'!V40</f>
        <v>2.9649918779613753E-2</v>
      </c>
      <c r="W33" s="75">
        <f>'ggdebt lvl'!W33/'ggdebt lvl'!W40</f>
        <v>2.9093289305808148E-2</v>
      </c>
      <c r="X33" s="75">
        <f>'ggdebt lvl'!X33/'ggdebt lvl'!X40</f>
        <v>3.2193125596837568E-2</v>
      </c>
      <c r="Y33" s="75">
        <f>'ggdebt lvl'!Y33/'ggdebt lvl'!Y40</f>
        <v>3.1425022404403188E-2</v>
      </c>
      <c r="Z33" s="75">
        <f>'ggdebt lvl'!Z33/'ggdebt lvl'!Z40</f>
        <v>2.9441362693440495E-2</v>
      </c>
      <c r="AA33" s="75">
        <f>'ggdebt lvl'!AA33/'ggdebt lvl'!AA40</f>
        <v>3.164650344004382E-2</v>
      </c>
      <c r="AB33" s="75">
        <f>'ggdebt lvl'!AB33/'ggdebt lvl'!AB40</f>
        <v>3.4533399168193243E-2</v>
      </c>
      <c r="AC33" s="75">
        <f>'ggdebt lvl'!AC33/'ggdebt lvl'!AC40</f>
        <v>3.6766475611776789E-2</v>
      </c>
      <c r="AD33" s="75">
        <f>'ggdebt lvl'!AD33/'ggdebt lvl'!AD40</f>
        <v>3.6833235810415449E-2</v>
      </c>
      <c r="AE33" s="75">
        <f>'ggdebt lvl'!AE33/'ggdebt lvl'!AE40</f>
        <v>3.5699054699704663E-2</v>
      </c>
      <c r="AF33" s="75">
        <f>'ggdebt lvl'!AF33/'ggdebt lvl'!AF40</f>
        <v>3.4632164451967463E-2</v>
      </c>
      <c r="AG33" s="75">
        <f>'ggdebt lvl'!AG33/'ggdebt lvl'!AG40</f>
        <v>3.6669371192783039E-2</v>
      </c>
      <c r="AH33" s="75">
        <f>'ggdebt lvl'!AH33/'ggdebt lvl'!AH40</f>
        <v>4.0937832621890581E-2</v>
      </c>
      <c r="AI33" s="75">
        <f>'ggdebt lvl'!AI33/'ggdebt lvl'!AI40</f>
        <v>4.2578867197155867E-2</v>
      </c>
      <c r="AJ33" s="75">
        <f>'ggdebt lvl'!AJ33/'ggdebt lvl'!AJ40</f>
        <v>4.2194679560332342E-2</v>
      </c>
      <c r="AK33" s="75">
        <f>'ggdebt lvl'!AK33/'ggdebt lvl'!AK40</f>
        <v>4.342924358516264E-2</v>
      </c>
      <c r="AL33" s="75">
        <f>'ggdebt lvl'!AL33/'ggdebt lvl'!AL40</f>
        <v>4.3227199500745946E-2</v>
      </c>
      <c r="AM33" s="75">
        <f>'ggdebt lvl'!AM33/'ggdebt lvl'!AM40</f>
        <v>4.2277448216652781E-2</v>
      </c>
      <c r="AN33" s="75">
        <f>'ggdebt lvl'!AN33/'ggdebt lvl'!AN40</f>
        <v>4.295769120021619E-2</v>
      </c>
      <c r="AO33" s="75">
        <f>'ggdebt lvl'!AO33/'ggdebt lvl'!AO40</f>
        <v>4.2103652528718311E-2</v>
      </c>
      <c r="AP33" s="75">
        <f>'ggdebt lvl'!AP33/'ggdebt lvl'!AP40</f>
        <v>4.1190235035872727E-2</v>
      </c>
      <c r="AQ33" s="75">
        <f>'ggdebt lvl'!AQ33/'ggdebt lvl'!AQ40</f>
        <v>4.1263495241440962E-2</v>
      </c>
      <c r="AR33" s="75">
        <f>'ggdebt lvl'!AR33/'ggdebt lvl'!AR40</f>
        <v>4.1114039281300085E-2</v>
      </c>
      <c r="AS33" s="75">
        <f>'ggdebt lvl'!AS33/'ggdebt lvl'!AS40</f>
        <v>4.0813839845813632E-2</v>
      </c>
      <c r="AT33" s="75">
        <f>'ggdebt lvl'!AT33/'ggdebt lvl'!AT40</f>
        <v>4.0224744466085316E-2</v>
      </c>
      <c r="AU33" s="75">
        <f>'ggdebt lvl'!AU33/'ggdebt lvl'!AU40</f>
        <v>3.9517449449382194E-2</v>
      </c>
      <c r="AV33" s="75">
        <f>'ggdebt lvl'!AV33/'ggdebt lvl'!AV40</f>
        <v>3.8690992202953536E-2</v>
      </c>
      <c r="AW33" s="75">
        <f>'ggdebt lvl'!AW33/'ggdebt lvl'!AW40</f>
        <v>3.7952449467879894E-2</v>
      </c>
      <c r="AX33" s="75">
        <f>'ggdebt lvl'!AX33/'ggdebt lvl'!AX40</f>
        <v>3.7821127877308867E-2</v>
      </c>
      <c r="AY33" s="75">
        <f>'ggdebt lvl'!AY33/'ggdebt lvl'!AY40</f>
        <v>3.7630640636160569E-2</v>
      </c>
    </row>
    <row r="34" spans="1:51" ht="14.1" customHeight="1">
      <c r="A34" s="2"/>
      <c r="B34" s="2"/>
      <c r="C34" s="2" t="s">
        <v>27</v>
      </c>
      <c r="D34" s="2"/>
      <c r="E34" s="75">
        <f>'ggdebt lvl'!E34/'ggdebt lvl'!E40</f>
        <v>2.2066306036098762E-4</v>
      </c>
      <c r="F34" s="75">
        <f>'ggdebt lvl'!F34/'ggdebt lvl'!F40</f>
        <v>2.7231485084629637E-4</v>
      </c>
      <c r="G34" s="75">
        <f>'ggdebt lvl'!G34/'ggdebt lvl'!G40</f>
        <v>2.5634281956513359E-4</v>
      </c>
      <c r="H34" s="75">
        <f>'ggdebt lvl'!H34/'ggdebt lvl'!H40</f>
        <v>1.79672234878482E-4</v>
      </c>
      <c r="I34" s="75">
        <f>'ggdebt lvl'!I34/'ggdebt lvl'!I40</f>
        <v>3.0333803475490767E-4</v>
      </c>
      <c r="J34" s="75">
        <f>'ggdebt lvl'!J34/'ggdebt lvl'!J40</f>
        <v>2.6920459140498433E-4</v>
      </c>
      <c r="K34" s="75">
        <f>'ggdebt lvl'!K34/'ggdebt lvl'!K40</f>
        <v>2.9171274882553913E-4</v>
      </c>
      <c r="L34" s="75">
        <f>'ggdebt lvl'!L34/'ggdebt lvl'!L40</f>
        <v>2.4657654880894721E-4</v>
      </c>
      <c r="M34" s="75">
        <f>'ggdebt lvl'!M34/'ggdebt lvl'!M40</f>
        <v>2.4030159910415564E-4</v>
      </c>
      <c r="N34" s="75">
        <f>'ggdebt lvl'!N34/'ggdebt lvl'!N40</f>
        <v>2.5111230194144966E-4</v>
      </c>
      <c r="O34" s="75">
        <f>'ggdebt lvl'!O34/'ggdebt lvl'!O40</f>
        <v>2.078390337416034E-4</v>
      </c>
      <c r="P34" s="75">
        <f>'ggdebt lvl'!P34/'ggdebt lvl'!P40</f>
        <v>1.2118975812597261E-4</v>
      </c>
      <c r="Q34" s="75">
        <f>'ggdebt lvl'!Q34/'ggdebt lvl'!Q40</f>
        <v>3.4341699283476056E-5</v>
      </c>
      <c r="R34" s="75">
        <f>'ggdebt lvl'!R34/'ggdebt lvl'!R40</f>
        <v>6.3944011841213011E-5</v>
      </c>
      <c r="S34" s="75">
        <f>'ggdebt lvl'!S34/'ggdebt lvl'!S40</f>
        <v>7.1582345646093297E-5</v>
      </c>
      <c r="T34" s="75">
        <f>'ggdebt lvl'!T34/'ggdebt lvl'!T40</f>
        <v>5.0778205007862642E-5</v>
      </c>
      <c r="U34" s="75">
        <f>'ggdebt lvl'!U34/'ggdebt lvl'!U40</f>
        <v>7.1092436233994785E-6</v>
      </c>
      <c r="V34" s="75">
        <f>'ggdebt lvl'!V34/'ggdebt lvl'!V40</f>
        <v>0</v>
      </c>
      <c r="W34" s="75">
        <f>'ggdebt lvl'!W34/'ggdebt lvl'!W40</f>
        <v>0</v>
      </c>
      <c r="X34" s="75">
        <f>'ggdebt lvl'!X34/'ggdebt lvl'!X40</f>
        <v>0</v>
      </c>
      <c r="Y34" s="75">
        <f>'ggdebt lvl'!Y34/'ggdebt lvl'!Y40</f>
        <v>0</v>
      </c>
      <c r="Z34" s="75">
        <f>'ggdebt lvl'!Z34/'ggdebt lvl'!Z40</f>
        <v>0</v>
      </c>
      <c r="AA34" s="75">
        <f>'ggdebt lvl'!AA34/'ggdebt lvl'!AA40</f>
        <v>0</v>
      </c>
      <c r="AB34" s="75">
        <f>'ggdebt lvl'!AB34/'ggdebt lvl'!AB40</f>
        <v>0</v>
      </c>
      <c r="AC34" s="75">
        <f>'ggdebt lvl'!AC34/'ggdebt lvl'!AC40</f>
        <v>0</v>
      </c>
      <c r="AD34" s="75">
        <f>'ggdebt lvl'!AD34/'ggdebt lvl'!AD40</f>
        <v>0</v>
      </c>
      <c r="AE34" s="75">
        <f>'ggdebt lvl'!AE34/'ggdebt lvl'!AE40</f>
        <v>0</v>
      </c>
      <c r="AF34" s="75">
        <f>'ggdebt lvl'!AF34/'ggdebt lvl'!AF40</f>
        <v>0</v>
      </c>
      <c r="AG34" s="75">
        <f>'ggdebt lvl'!AG34/'ggdebt lvl'!AG40</f>
        <v>0</v>
      </c>
      <c r="AH34" s="75">
        <f>'ggdebt lvl'!AH34/'ggdebt lvl'!AH40</f>
        <v>0</v>
      </c>
      <c r="AI34" s="75">
        <f>'ggdebt lvl'!AI34/'ggdebt lvl'!AI40</f>
        <v>0</v>
      </c>
      <c r="AJ34" s="75">
        <f>'ggdebt lvl'!AJ34/'ggdebt lvl'!AJ40</f>
        <v>1.5450644307318259E-5</v>
      </c>
      <c r="AK34" s="75">
        <f>'ggdebt lvl'!AK34/'ggdebt lvl'!AK40</f>
        <v>1.4167099522153854E-5</v>
      </c>
      <c r="AL34" s="75">
        <f>'ggdebt lvl'!AL34/'ggdebt lvl'!AL40</f>
        <v>1.3894634209859792E-5</v>
      </c>
      <c r="AM34" s="75">
        <f>'ggdebt lvl'!AM34/'ggdebt lvl'!AM40</f>
        <v>1.3587481348755516E-5</v>
      </c>
      <c r="AN34" s="75">
        <f>'ggdebt lvl'!AN34/'ggdebt lvl'!AN40</f>
        <v>1.3256208711052432E-5</v>
      </c>
      <c r="AO34" s="75">
        <f>'ggdebt lvl'!AO34/'ggdebt lvl'!AO40</f>
        <v>1.1127983400758094E-5</v>
      </c>
      <c r="AP34" s="75">
        <f>'ggdebt lvl'!AP34/'ggdebt lvl'!AP40</f>
        <v>1.0892805175099119E-5</v>
      </c>
      <c r="AQ34" s="75">
        <f>'ggdebt lvl'!AQ34/'ggdebt lvl'!AQ40</f>
        <v>9.7707124670293953E-6</v>
      </c>
      <c r="AR34" s="75">
        <f>'ggdebt lvl'!AR34/'ggdebt lvl'!AR40</f>
        <v>8.6637950229270012E-6</v>
      </c>
      <c r="AS34" s="75">
        <f>'ggdebt lvl'!AS34/'ggdebt lvl'!AS40</f>
        <v>8.4852057891504443E-6</v>
      </c>
      <c r="AT34" s="75">
        <f>'ggdebt lvl'!AT34/'ggdebt lvl'!AT40</f>
        <v>7.4531674015351697E-6</v>
      </c>
      <c r="AU34" s="75">
        <f>'ggdebt lvl'!AU34/'ggdebt lvl'!AU40</f>
        <v>7.30256955514937E-6</v>
      </c>
      <c r="AV34" s="75">
        <f>'ggdebt lvl'!AV34/'ggdebt lvl'!AV40</f>
        <v>6.3277442477640912E-6</v>
      </c>
      <c r="AW34" s="75">
        <f>'ggdebt lvl'!AW34/'ggdebt lvl'!AW40</f>
        <v>5.4707923287238577E-6</v>
      </c>
      <c r="AX34" s="75">
        <f>'ggdebt lvl'!AX34/'ggdebt lvl'!AX40</f>
        <v>5.3990516180186408E-6</v>
      </c>
      <c r="AY34" s="75">
        <f>'ggdebt lvl'!AY34/'ggdebt lvl'!AY40</f>
        <v>4.5801656081013352E-6</v>
      </c>
    </row>
    <row r="35" spans="1:51" ht="14.1" customHeight="1">
      <c r="A35" s="2"/>
      <c r="B35" s="2"/>
      <c r="C35" s="2" t="s">
        <v>28</v>
      </c>
      <c r="D35" s="2"/>
      <c r="E35" s="75">
        <f>'ggdebt lvl'!E35/'ggdebt lvl'!E40</f>
        <v>0</v>
      </c>
      <c r="F35" s="75">
        <f>'ggdebt lvl'!F35/'ggdebt lvl'!F40</f>
        <v>0</v>
      </c>
      <c r="G35" s="75">
        <f>'ggdebt lvl'!G35/'ggdebt lvl'!G40</f>
        <v>0</v>
      </c>
      <c r="H35" s="75">
        <f>'ggdebt lvl'!H35/'ggdebt lvl'!H40</f>
        <v>0</v>
      </c>
      <c r="I35" s="75">
        <f>'ggdebt lvl'!I35/'ggdebt lvl'!I40</f>
        <v>0</v>
      </c>
      <c r="J35" s="75">
        <f>'ggdebt lvl'!J35/'ggdebt lvl'!J40</f>
        <v>0</v>
      </c>
      <c r="K35" s="75">
        <f>'ggdebt lvl'!K35/'ggdebt lvl'!K40</f>
        <v>0</v>
      </c>
      <c r="L35" s="75">
        <f>'ggdebt lvl'!L35/'ggdebt lvl'!L40</f>
        <v>0</v>
      </c>
      <c r="M35" s="75">
        <f>'ggdebt lvl'!M35/'ggdebt lvl'!M40</f>
        <v>0</v>
      </c>
      <c r="N35" s="75">
        <f>'ggdebt lvl'!N35/'ggdebt lvl'!N40</f>
        <v>0</v>
      </c>
      <c r="O35" s="75">
        <f>'ggdebt lvl'!O35/'ggdebt lvl'!O40</f>
        <v>0</v>
      </c>
      <c r="P35" s="75">
        <f>'ggdebt lvl'!P35/'ggdebt lvl'!P40</f>
        <v>7.4331089905100439E-4</v>
      </c>
      <c r="Q35" s="75">
        <f>'ggdebt lvl'!Q35/'ggdebt lvl'!Q40</f>
        <v>7.7241093248172157E-4</v>
      </c>
      <c r="R35" s="75">
        <f>'ggdebt lvl'!R35/'ggdebt lvl'!R40</f>
        <v>0</v>
      </c>
      <c r="S35" s="75">
        <f>'ggdebt lvl'!S35/'ggdebt lvl'!S40</f>
        <v>6.3002917895496927E-4</v>
      </c>
      <c r="T35" s="75">
        <f>'ggdebt lvl'!T35/'ggdebt lvl'!T40</f>
        <v>3.9788272625281078E-4</v>
      </c>
      <c r="U35" s="75">
        <f>'ggdebt lvl'!U35/'ggdebt lvl'!U40</f>
        <v>3.8994124818412141E-4</v>
      </c>
      <c r="V35" s="75">
        <f>'ggdebt lvl'!V35/'ggdebt lvl'!V40</f>
        <v>3.778566116122419E-4</v>
      </c>
      <c r="W35" s="75">
        <f>'ggdebt lvl'!W35/'ggdebt lvl'!W40</f>
        <v>3.765001707561089E-4</v>
      </c>
      <c r="X35" s="75">
        <f>'ggdebt lvl'!X35/'ggdebt lvl'!X40</f>
        <v>4.8325606518952511E-4</v>
      </c>
      <c r="Y35" s="75">
        <f>'ggdebt lvl'!Y35/'ggdebt lvl'!Y40</f>
        <v>4.7741124395106704E-4</v>
      </c>
      <c r="Z35" s="75">
        <f>'ggdebt lvl'!Z35/'ggdebt lvl'!Z40</f>
        <v>4.3536045896752266E-4</v>
      </c>
      <c r="AA35" s="75">
        <f>'ggdebt lvl'!AA35/'ggdebt lvl'!AA40</f>
        <v>4.1102037856882777E-4</v>
      </c>
      <c r="AB35" s="75">
        <f>'ggdebt lvl'!AB35/'ggdebt lvl'!AB40</f>
        <v>4.1104952246552297E-4</v>
      </c>
      <c r="AC35" s="75">
        <f>'ggdebt lvl'!AC35/'ggdebt lvl'!AC40</f>
        <v>3.9252002976126408E-4</v>
      </c>
      <c r="AD35" s="75">
        <f>'ggdebt lvl'!AD35/'ggdebt lvl'!AD40</f>
        <v>3.7404141299824458E-4</v>
      </c>
      <c r="AE35" s="75">
        <f>'ggdebt lvl'!AE35/'ggdebt lvl'!AE40</f>
        <v>3.7141597875069843E-4</v>
      </c>
      <c r="AF35" s="75">
        <f>'ggdebt lvl'!AF35/'ggdebt lvl'!AF40</f>
        <v>3.6177197137662328E-4</v>
      </c>
      <c r="AG35" s="75">
        <f>'ggdebt lvl'!AG35/'ggdebt lvl'!AG40</f>
        <v>3.5430489115850566E-4</v>
      </c>
      <c r="AH35" s="75">
        <f>'ggdebt lvl'!AH35/'ggdebt lvl'!AH40</f>
        <v>2.7490944437046915E-5</v>
      </c>
      <c r="AI35" s="75">
        <f>'ggdebt lvl'!AI35/'ggdebt lvl'!AI40</f>
        <v>2.7056396805891903E-5</v>
      </c>
      <c r="AJ35" s="75">
        <f>'ggdebt lvl'!AJ35/'ggdebt lvl'!AJ40</f>
        <v>3.1365166749842635E-4</v>
      </c>
      <c r="AK35" s="75">
        <f>'ggdebt lvl'!AK35/'ggdebt lvl'!AK40</f>
        <v>3.0813793959169004E-4</v>
      </c>
      <c r="AL35" s="75">
        <f>'ggdebt lvl'!AL35/'ggdebt lvl'!AL40</f>
        <v>3.0221175125587645E-4</v>
      </c>
      <c r="AM35" s="75">
        <f>'ggdebt lvl'!AM35/'ggdebt lvl'!AM40</f>
        <v>2.9553110010266316E-4</v>
      </c>
      <c r="AN35" s="75">
        <f>'ggdebt lvl'!AN35/'ggdebt lvl'!AN40</f>
        <v>2.8832583780706708E-4</v>
      </c>
      <c r="AO35" s="75">
        <f>'ggdebt lvl'!AO35/'ggdebt lvl'!AO40</f>
        <v>0</v>
      </c>
      <c r="AP35" s="75">
        <f>'ggdebt lvl'!AP35/'ggdebt lvl'!AP40</f>
        <v>1.8922476970340526E-5</v>
      </c>
      <c r="AQ35" s="75">
        <f>'ggdebt lvl'!AQ35/'ggdebt lvl'!AQ40</f>
        <v>1.8516250314106198E-5</v>
      </c>
      <c r="AR35" s="75">
        <f>'ggdebt lvl'!AR35/'ggdebt lvl'!AR40</f>
        <v>0</v>
      </c>
      <c r="AS35" s="75">
        <f>'ggdebt lvl'!AS35/'ggdebt lvl'!AS40</f>
        <v>0</v>
      </c>
      <c r="AT35" s="75">
        <f>'ggdebt lvl'!AT35/'ggdebt lvl'!AT40</f>
        <v>0</v>
      </c>
      <c r="AU35" s="75">
        <f>'ggdebt lvl'!AU35/'ggdebt lvl'!AU40</f>
        <v>0</v>
      </c>
      <c r="AV35" s="75">
        <f>'ggdebt lvl'!AV35/'ggdebt lvl'!AV40</f>
        <v>0</v>
      </c>
      <c r="AW35" s="75">
        <f>'ggdebt lvl'!AW35/'ggdebt lvl'!AW40</f>
        <v>0</v>
      </c>
      <c r="AX35" s="75">
        <f>'ggdebt lvl'!AX35/'ggdebt lvl'!AX40</f>
        <v>0</v>
      </c>
      <c r="AY35" s="75">
        <f>'ggdebt lvl'!AY35/'ggdebt lvl'!AY40</f>
        <v>0</v>
      </c>
    </row>
    <row r="36" spans="1:51" ht="14.1" customHeight="1">
      <c r="A36" s="50"/>
      <c r="B36" s="50"/>
      <c r="C36" s="50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</row>
    <row r="37" spans="1:51" ht="14.1" customHeight="1">
      <c r="A37" s="53" t="s">
        <v>29</v>
      </c>
      <c r="B37" s="54" t="s">
        <v>30</v>
      </c>
      <c r="C37" s="54"/>
      <c r="D37" s="54"/>
      <c r="E37" s="81">
        <f>'ggdebt lvl'!E37/'ggdebt lvl'!E40</f>
        <v>0.68074528408598145</v>
      </c>
      <c r="F37" s="81">
        <f>'ggdebt lvl'!F37/'ggdebt lvl'!F40</f>
        <v>0.66292890727759968</v>
      </c>
      <c r="G37" s="81">
        <f>'ggdebt lvl'!G37/'ggdebt lvl'!G40</f>
        <v>0.67653338718561828</v>
      </c>
      <c r="H37" s="81">
        <f>'ggdebt lvl'!H37/'ggdebt lvl'!H40</f>
        <v>0.65804336584684686</v>
      </c>
      <c r="I37" s="81">
        <f>'ggdebt lvl'!I37/'ggdebt lvl'!I40</f>
        <v>0.649696409946664</v>
      </c>
      <c r="J37" s="81">
        <f>'ggdebt lvl'!J37/'ggdebt lvl'!J40</f>
        <v>0.64215786546008358</v>
      </c>
      <c r="K37" s="81">
        <f>'ggdebt lvl'!K37/'ggdebt lvl'!K40</f>
        <v>0.64287699131073617</v>
      </c>
      <c r="L37" s="81">
        <f>'ggdebt lvl'!L37/'ggdebt lvl'!L40</f>
        <v>0.59168781395793235</v>
      </c>
      <c r="M37" s="81">
        <f>'ggdebt lvl'!M37/'ggdebt lvl'!M40</f>
        <v>0.58396183022658898</v>
      </c>
      <c r="N37" s="81">
        <f>'ggdebt lvl'!N37/'ggdebt lvl'!N40</f>
        <v>0.56690830059844921</v>
      </c>
      <c r="O37" s="81">
        <f>'ggdebt lvl'!O37/'ggdebt lvl'!O40</f>
        <v>0.54137789334899544</v>
      </c>
      <c r="P37" s="81">
        <f>'ggdebt lvl'!P37/'ggdebt lvl'!P40</f>
        <v>0.51506018279315913</v>
      </c>
      <c r="Q37" s="81">
        <f>'ggdebt lvl'!Q37/'ggdebt lvl'!Q40</f>
        <v>0.51110972180593317</v>
      </c>
      <c r="R37" s="81">
        <f>'ggdebt lvl'!R37/'ggdebt lvl'!R40</f>
        <v>0.47040203117838147</v>
      </c>
      <c r="S37" s="81">
        <f>'ggdebt lvl'!S37/'ggdebt lvl'!S40</f>
        <v>0.46897065154210293</v>
      </c>
      <c r="T37" s="81">
        <f>'ggdebt lvl'!T37/'ggdebt lvl'!T40</f>
        <v>0.44166059716382833</v>
      </c>
      <c r="U37" s="81">
        <f>'ggdebt lvl'!U37/'ggdebt lvl'!U40</f>
        <v>0.44028817136787818</v>
      </c>
      <c r="V37" s="81">
        <f>'ggdebt lvl'!V37/'ggdebt lvl'!V40</f>
        <v>0.43820865403437714</v>
      </c>
      <c r="W37" s="81">
        <f>'ggdebt lvl'!W37/'ggdebt lvl'!W40</f>
        <v>0.43970749236036805</v>
      </c>
      <c r="X37" s="81">
        <f>'ggdebt lvl'!X37/'ggdebt lvl'!X40</f>
        <v>0.44120503429089569</v>
      </c>
      <c r="Y37" s="81">
        <f>'ggdebt lvl'!Y37/'ggdebt lvl'!Y40</f>
        <v>0.43978500402344434</v>
      </c>
      <c r="Z37" s="81">
        <f>'ggdebt lvl'!Z37/'ggdebt lvl'!Z40</f>
        <v>0.43739121580099444</v>
      </c>
      <c r="AA37" s="81">
        <f>'ggdebt lvl'!AA37/'ggdebt lvl'!AA40</f>
        <v>0.44589387933284991</v>
      </c>
      <c r="AB37" s="81">
        <f>'ggdebt lvl'!AB37/'ggdebt lvl'!AB40</f>
        <v>0.44301572354513119</v>
      </c>
      <c r="AC37" s="81">
        <f>'ggdebt lvl'!AC37/'ggdebt lvl'!AC40</f>
        <v>0.42585131474999671</v>
      </c>
      <c r="AD37" s="81">
        <f>'ggdebt lvl'!AD37/'ggdebt lvl'!AD40</f>
        <v>0.4277752958566004</v>
      </c>
      <c r="AE37" s="81">
        <f>'ggdebt lvl'!AE37/'ggdebt lvl'!AE40</f>
        <v>0.43022796653650974</v>
      </c>
      <c r="AF37" s="81">
        <f>'ggdebt lvl'!AF37/'ggdebt lvl'!AF40</f>
        <v>0.42198851604930543</v>
      </c>
      <c r="AG37" s="81">
        <f>'ggdebt lvl'!AG37/'ggdebt lvl'!AG40</f>
        <v>0.43300994150014394</v>
      </c>
      <c r="AH37" s="81">
        <f>'ggdebt lvl'!AH37/'ggdebt lvl'!AH40</f>
        <v>0.43029841738779195</v>
      </c>
      <c r="AI37" s="81">
        <f>'ggdebt lvl'!AI37/'ggdebt lvl'!AI40</f>
        <v>0.43009516314816787</v>
      </c>
      <c r="AJ37" s="81">
        <f>'ggdebt lvl'!AJ37/'ggdebt lvl'!AJ40</f>
        <v>0.41411464813334176</v>
      </c>
      <c r="AK37" s="81">
        <f>'ggdebt lvl'!AK37/'ggdebt lvl'!AK40</f>
        <v>0.42483557743124678</v>
      </c>
      <c r="AL37" s="81">
        <f>'ggdebt lvl'!AL37/'ggdebt lvl'!AL40</f>
        <v>0.41219910854689473</v>
      </c>
      <c r="AM37" s="81">
        <f>'ggdebt lvl'!AM37/'ggdebt lvl'!AM40</f>
        <v>0.40299287797813138</v>
      </c>
      <c r="AN37" s="81">
        <f>'ggdebt lvl'!AN37/'ggdebt lvl'!AN40</f>
        <v>0.40608292250207723</v>
      </c>
      <c r="AO37" s="81">
        <f>'ggdebt lvl'!AO37/'ggdebt lvl'!AO40</f>
        <v>0.38535900694681147</v>
      </c>
      <c r="AP37" s="81">
        <f>'ggdebt lvl'!AP37/'ggdebt lvl'!AP40</f>
        <v>0.39141683109208275</v>
      </c>
      <c r="AQ37" s="81">
        <f>'ggdebt lvl'!AQ37/'ggdebt lvl'!AQ40</f>
        <v>0.39689887377569633</v>
      </c>
      <c r="AR37" s="81">
        <f>'ggdebt lvl'!AR37/'ggdebt lvl'!AR40</f>
        <v>0.3924583609361586</v>
      </c>
      <c r="AS37" s="81">
        <f>'ggdebt lvl'!AS37/'ggdebt lvl'!AS40</f>
        <v>0.38101929985025057</v>
      </c>
      <c r="AT37" s="81">
        <f>'ggdebt lvl'!AT37/'ggdebt lvl'!AT40</f>
        <v>0.37275524472943883</v>
      </c>
      <c r="AU37" s="81">
        <f>'ggdebt lvl'!AU37/'ggdebt lvl'!AU40</f>
        <v>0.37206631807289081</v>
      </c>
      <c r="AV37" s="81">
        <f>'ggdebt lvl'!AV37/'ggdebt lvl'!AV40</f>
        <v>0.3640467061930534</v>
      </c>
      <c r="AW37" s="81">
        <f>'ggdebt lvl'!AW37/'ggdebt lvl'!AW40</f>
        <v>0.36343287180750006</v>
      </c>
      <c r="AX37" s="81">
        <f>'ggdebt lvl'!AX37/'ggdebt lvl'!AX40</f>
        <v>0.36155130331837282</v>
      </c>
      <c r="AY37" s="81">
        <f>'ggdebt lvl'!AY37/'ggdebt lvl'!AY40</f>
        <v>0.36783248979804667</v>
      </c>
    </row>
    <row r="38" spans="1:51" ht="14.1" customHeight="1">
      <c r="A38" s="2"/>
      <c r="B38" s="2"/>
      <c r="C38" s="1" t="s">
        <v>10</v>
      </c>
      <c r="D38" s="1"/>
      <c r="E38" s="82">
        <f>'ggdebt lvl'!E38/'ggdebt lvl'!E40</f>
        <v>0.30420838086708585</v>
      </c>
      <c r="F38" s="82">
        <f>'ggdebt lvl'!F38/'ggdebt lvl'!F40</f>
        <v>0.29783553571209287</v>
      </c>
      <c r="G38" s="82">
        <f>'ggdebt lvl'!G38/'ggdebt lvl'!G40</f>
        <v>0.30955259493290377</v>
      </c>
      <c r="H38" s="82">
        <f>'ggdebt lvl'!H38/'ggdebt lvl'!H40</f>
        <v>0.29555056748108316</v>
      </c>
      <c r="I38" s="82">
        <f>'ggdebt lvl'!I38/'ggdebt lvl'!I40</f>
        <v>0.29667016185850448</v>
      </c>
      <c r="J38" s="82">
        <f>'ggdebt lvl'!J38/'ggdebt lvl'!J40</f>
        <v>0.29009111218999051</v>
      </c>
      <c r="K38" s="82">
        <f>'ggdebt lvl'!K38/'ggdebt lvl'!K40</f>
        <v>0.2962326458634118</v>
      </c>
      <c r="L38" s="82">
        <f>'ggdebt lvl'!L38/'ggdebt lvl'!L40</f>
        <v>0.28186437946364135</v>
      </c>
      <c r="M38" s="82">
        <f>'ggdebt lvl'!M38/'ggdebt lvl'!M40</f>
        <v>0.27401520850221556</v>
      </c>
      <c r="N38" s="82">
        <f>'ggdebt lvl'!N38/'ggdebt lvl'!N40</f>
        <v>0.25740105288546122</v>
      </c>
      <c r="O38" s="82">
        <f>'ggdebt lvl'!O38/'ggdebt lvl'!O40</f>
        <v>0.25095687121181287</v>
      </c>
      <c r="P38" s="82">
        <f>'ggdebt lvl'!P38/'ggdebt lvl'!P40</f>
        <v>0.2437902046186676</v>
      </c>
      <c r="Q38" s="82">
        <f>'ggdebt lvl'!Q38/'ggdebt lvl'!Q40</f>
        <v>0.2368573573632396</v>
      </c>
      <c r="R38" s="82">
        <f>'ggdebt lvl'!R38/'ggdebt lvl'!R40</f>
        <v>0.21743673974120029</v>
      </c>
      <c r="S38" s="82">
        <f>'ggdebt lvl'!S38/'ggdebt lvl'!S40</f>
        <v>0.22680346655187841</v>
      </c>
      <c r="T38" s="82">
        <f>'ggdebt lvl'!T38/'ggdebt lvl'!T40</f>
        <v>0.22265705598389954</v>
      </c>
      <c r="U38" s="82">
        <f>'ggdebt lvl'!U38/'ggdebt lvl'!U40</f>
        <v>0.21364989238391421</v>
      </c>
      <c r="V38" s="82">
        <f>'ggdebt lvl'!V38/'ggdebt lvl'!V40</f>
        <v>0.20957735029929056</v>
      </c>
      <c r="W38" s="82">
        <f>'ggdebt lvl'!W38/'ggdebt lvl'!W40</f>
        <v>0.20954218171026714</v>
      </c>
      <c r="X38" s="82">
        <f>'ggdebt lvl'!X38/'ggdebt lvl'!X40</f>
        <v>0.2073675924361166</v>
      </c>
      <c r="Y38" s="82">
        <f>'ggdebt lvl'!Y38/'ggdebt lvl'!Y40</f>
        <v>0.20433605971382629</v>
      </c>
      <c r="Z38" s="82">
        <f>'ggdebt lvl'!Z38/'ggdebt lvl'!Z40</f>
        <v>0.20232591157549862</v>
      </c>
      <c r="AA38" s="82">
        <f>'ggdebt lvl'!AA38/'ggdebt lvl'!AA40</f>
        <v>0.20388710927969123</v>
      </c>
      <c r="AB38" s="82">
        <f>'ggdebt lvl'!AB38/'ggdebt lvl'!AB40</f>
        <v>0.2033082128897965</v>
      </c>
      <c r="AC38" s="82">
        <f>'ggdebt lvl'!AC38/'ggdebt lvl'!AC40</f>
        <v>0.19335232316231363</v>
      </c>
      <c r="AD38" s="82">
        <f>'ggdebt lvl'!AD38/'ggdebt lvl'!AD40</f>
        <v>0.19516966990917611</v>
      </c>
      <c r="AE38" s="82">
        <f>'ggdebt lvl'!AE38/'ggdebt lvl'!AE40</f>
        <v>0.20599486255385474</v>
      </c>
      <c r="AF38" s="82">
        <f>'ggdebt lvl'!AF38/'ggdebt lvl'!AF40</f>
        <v>0.20626192464704873</v>
      </c>
      <c r="AG38" s="82">
        <f>'ggdebt lvl'!AG38/'ggdebt lvl'!AG40</f>
        <v>0.21116693278479351</v>
      </c>
      <c r="AH38" s="82">
        <f>'ggdebt lvl'!AH38/'ggdebt lvl'!AH40</f>
        <v>0.21138069881315172</v>
      </c>
      <c r="AI38" s="82">
        <f>'ggdebt lvl'!AI38/'ggdebt lvl'!AI40</f>
        <v>0.21060013482864073</v>
      </c>
      <c r="AJ38" s="82">
        <f>'ggdebt lvl'!AJ38/'ggdebt lvl'!AJ40</f>
        <v>0.20611766329372713</v>
      </c>
      <c r="AK38" s="82">
        <f>'ggdebt lvl'!AK38/'ggdebt lvl'!AK40</f>
        <v>0.21496831404634828</v>
      </c>
      <c r="AL38" s="82">
        <f>'ggdebt lvl'!AL38/'ggdebt lvl'!AL40</f>
        <v>0.20868767643885638</v>
      </c>
      <c r="AM38" s="82">
        <f>'ggdebt lvl'!AM38/'ggdebt lvl'!AM40</f>
        <v>0.20614977398401357</v>
      </c>
      <c r="AN38" s="82">
        <f>'ggdebt lvl'!AN38/'ggdebt lvl'!AN40</f>
        <v>0.22686570352020896</v>
      </c>
      <c r="AO38" s="82">
        <f>'ggdebt lvl'!AO38/'ggdebt lvl'!AO40</f>
        <v>0.2181572821093844</v>
      </c>
      <c r="AP38" s="82">
        <f>'ggdebt lvl'!AP38/'ggdebt lvl'!AP40</f>
        <v>0.22140960099264775</v>
      </c>
      <c r="AQ38" s="82">
        <f>'ggdebt lvl'!AQ38/'ggdebt lvl'!AQ40</f>
        <v>0.23212850994545273</v>
      </c>
      <c r="AR38" s="82">
        <f>'ggdebt lvl'!AR38/'ggdebt lvl'!AR40</f>
        <v>0.23057613067431965</v>
      </c>
      <c r="AS38" s="82">
        <f>'ggdebt lvl'!AS38/'ggdebt lvl'!AS40</f>
        <v>0.22083381919134379</v>
      </c>
      <c r="AT38" s="82">
        <f>'ggdebt lvl'!AT38/'ggdebt lvl'!AT40</f>
        <v>0.22028896265173095</v>
      </c>
      <c r="AU38" s="82">
        <f>'ggdebt lvl'!AU38/'ggdebt lvl'!AU40</f>
        <v>0.21917285988509161</v>
      </c>
      <c r="AV38" s="82">
        <f>'ggdebt lvl'!AV38/'ggdebt lvl'!AV40</f>
        <v>0.2187858014331977</v>
      </c>
      <c r="AW38" s="82">
        <f>'ggdebt lvl'!AW38/'ggdebt lvl'!AW40</f>
        <v>0.21839407040038408</v>
      </c>
      <c r="AX38" s="82">
        <f>'ggdebt lvl'!AX38/'ggdebt lvl'!AX40</f>
        <v>0.21528241820710606</v>
      </c>
      <c r="AY38" s="82">
        <f>'ggdebt lvl'!AY38/'ggdebt lvl'!AY40</f>
        <v>0.21751708822686672</v>
      </c>
    </row>
    <row r="39" spans="1:51" ht="14.1" customHeight="1">
      <c r="A39" s="50"/>
      <c r="B39" s="50"/>
      <c r="C39" s="9" t="s">
        <v>11</v>
      </c>
      <c r="D39" s="9"/>
      <c r="E39" s="83">
        <f>'ggdebt lvl'!E39/'ggdebt lvl'!E40</f>
        <v>0.3765369032188956</v>
      </c>
      <c r="F39" s="83">
        <f>'ggdebt lvl'!F39/'ggdebt lvl'!F40</f>
        <v>0.36509337156550686</v>
      </c>
      <c r="G39" s="83">
        <f>'ggdebt lvl'!G39/'ggdebt lvl'!G40</f>
        <v>0.36698079225271452</v>
      </c>
      <c r="H39" s="83">
        <f>'ggdebt lvl'!H39/'ggdebt lvl'!H40</f>
        <v>0.36249279836576381</v>
      </c>
      <c r="I39" s="83">
        <f>'ggdebt lvl'!I39/'ggdebt lvl'!I40</f>
        <v>0.35302624808815963</v>
      </c>
      <c r="J39" s="83">
        <f>'ggdebt lvl'!J39/'ggdebt lvl'!J40</f>
        <v>0.35206675327009312</v>
      </c>
      <c r="K39" s="83">
        <f>'ggdebt lvl'!K39/'ggdebt lvl'!K40</f>
        <v>0.34664434544732431</v>
      </c>
      <c r="L39" s="83">
        <f>'ggdebt lvl'!L39/'ggdebt lvl'!L40</f>
        <v>0.30982343449429089</v>
      </c>
      <c r="M39" s="83">
        <f>'ggdebt lvl'!M39/'ggdebt lvl'!M40</f>
        <v>0.30994662172437343</v>
      </c>
      <c r="N39" s="83">
        <f>'ggdebt lvl'!N39/'ggdebt lvl'!N40</f>
        <v>0.30950724771298804</v>
      </c>
      <c r="O39" s="83">
        <f>'ggdebt lvl'!O39/'ggdebt lvl'!O40</f>
        <v>0.29042102213718257</v>
      </c>
      <c r="P39" s="83">
        <f>'ggdebt lvl'!P39/'ggdebt lvl'!P40</f>
        <v>0.27126997817449156</v>
      </c>
      <c r="Q39" s="83">
        <f>'ggdebt lvl'!Q39/'ggdebt lvl'!Q40</f>
        <v>0.27425236444269357</v>
      </c>
      <c r="R39" s="83">
        <f>'ggdebt lvl'!R39/'ggdebt lvl'!R40</f>
        <v>0.25296529143718127</v>
      </c>
      <c r="S39" s="83">
        <f>'ggdebt lvl'!S39/'ggdebt lvl'!S40</f>
        <v>0.24216718499022449</v>
      </c>
      <c r="T39" s="83">
        <f>'ggdebt lvl'!T39/'ggdebt lvl'!T40</f>
        <v>0.21900354117992879</v>
      </c>
      <c r="U39" s="83">
        <f>'ggdebt lvl'!U39/'ggdebt lvl'!U40</f>
        <v>0.22663827898396399</v>
      </c>
      <c r="V39" s="83">
        <f>'ggdebt lvl'!V39/'ggdebt lvl'!V40</f>
        <v>0.22863130373508656</v>
      </c>
      <c r="W39" s="83">
        <f>'ggdebt lvl'!W39/'ggdebt lvl'!W40</f>
        <v>0.2301653106501009</v>
      </c>
      <c r="X39" s="83">
        <f>'ggdebt lvl'!X39/'ggdebt lvl'!X40</f>
        <v>0.23383744185477912</v>
      </c>
      <c r="Y39" s="83">
        <f>'ggdebt lvl'!Y39/'ggdebt lvl'!Y40</f>
        <v>0.23544894430961807</v>
      </c>
      <c r="Z39" s="83">
        <f>'ggdebt lvl'!Z39/'ggdebt lvl'!Z40</f>
        <v>0.23506530422549582</v>
      </c>
      <c r="AA39" s="83">
        <f>'ggdebt lvl'!AA39/'ggdebt lvl'!AA40</f>
        <v>0.24200677005315871</v>
      </c>
      <c r="AB39" s="83">
        <f>'ggdebt lvl'!AB39/'ggdebt lvl'!AB40</f>
        <v>0.23970751065533469</v>
      </c>
      <c r="AC39" s="83">
        <f>'ggdebt lvl'!AC39/'ggdebt lvl'!AC40</f>
        <v>0.23249899158768306</v>
      </c>
      <c r="AD39" s="83">
        <f>'ggdebt lvl'!AD39/'ggdebt lvl'!AD40</f>
        <v>0.23260562594742423</v>
      </c>
      <c r="AE39" s="83">
        <f>'ggdebt lvl'!AE39/'ggdebt lvl'!AE40</f>
        <v>0.22423310398265503</v>
      </c>
      <c r="AF39" s="83">
        <f>'ggdebt lvl'!AF39/'ggdebt lvl'!AF40</f>
        <v>0.2157265914022567</v>
      </c>
      <c r="AG39" s="83">
        <f>'ggdebt lvl'!AG39/'ggdebt lvl'!AG40</f>
        <v>0.22184300871535045</v>
      </c>
      <c r="AH39" s="83">
        <f>'ggdebt lvl'!AH39/'ggdebt lvl'!AH40</f>
        <v>0.21891771857464021</v>
      </c>
      <c r="AI39" s="83">
        <f>'ggdebt lvl'!AI39/'ggdebt lvl'!AI40</f>
        <v>0.21949502831952716</v>
      </c>
      <c r="AJ39" s="83">
        <f>'ggdebt lvl'!AJ39/'ggdebt lvl'!AJ40</f>
        <v>0.2079969848396146</v>
      </c>
      <c r="AK39" s="83">
        <f>'ggdebt lvl'!AK39/'ggdebt lvl'!AK40</f>
        <v>0.20986726338489853</v>
      </c>
      <c r="AL39" s="83">
        <f>'ggdebt lvl'!AL39/'ggdebt lvl'!AL40</f>
        <v>0.20351143210803832</v>
      </c>
      <c r="AM39" s="83">
        <f>'ggdebt lvl'!AM39/'ggdebt lvl'!AM40</f>
        <v>0.19684310399411781</v>
      </c>
      <c r="AN39" s="83">
        <f>'ggdebt lvl'!AN39/'ggdebt lvl'!AN40</f>
        <v>0.17921721898186826</v>
      </c>
      <c r="AO39" s="83">
        <f>'ggdebt lvl'!AO39/'ggdebt lvl'!AO40</f>
        <v>0.16720172483742712</v>
      </c>
      <c r="AP39" s="83">
        <f>'ggdebt lvl'!AP39/'ggdebt lvl'!AP40</f>
        <v>0.17000723009943497</v>
      </c>
      <c r="AQ39" s="83">
        <f>'ggdebt lvl'!AQ39/'ggdebt lvl'!AQ40</f>
        <v>0.16477036383024363</v>
      </c>
      <c r="AR39" s="83">
        <f>'ggdebt lvl'!AR39/'ggdebt lvl'!AR40</f>
        <v>0.16188223026183896</v>
      </c>
      <c r="AS39" s="83">
        <f>'ggdebt lvl'!AS39/'ggdebt lvl'!AS40</f>
        <v>0.16018548065890678</v>
      </c>
      <c r="AT39" s="83">
        <f>'ggdebt lvl'!AT39/'ggdebt lvl'!AT40</f>
        <v>0.15246628207770788</v>
      </c>
      <c r="AU39" s="83">
        <f>'ggdebt lvl'!AU39/'ggdebt lvl'!AU40</f>
        <v>0.1528934581877992</v>
      </c>
      <c r="AV39" s="83">
        <f>'ggdebt lvl'!AV39/'ggdebt lvl'!AV40</f>
        <v>0.14526090475985576</v>
      </c>
      <c r="AW39" s="83">
        <f>'ggdebt lvl'!AW39/'ggdebt lvl'!AW40</f>
        <v>0.14503880140711597</v>
      </c>
      <c r="AX39" s="83">
        <f>'ggdebt lvl'!AX39/'ggdebt lvl'!AX40</f>
        <v>0.14626888511126673</v>
      </c>
      <c r="AY39" s="83">
        <f>'ggdebt lvl'!AY39/'ggdebt lvl'!AY40</f>
        <v>0.15031540157118001</v>
      </c>
    </row>
    <row r="40" spans="1:51" ht="14.1" customHeight="1">
      <c r="A40" s="68" t="s">
        <v>33</v>
      </c>
      <c r="B40" s="68"/>
      <c r="C40" s="68"/>
      <c r="D40" s="69"/>
      <c r="E40" s="70"/>
      <c r="F40" s="2"/>
      <c r="G40" s="2"/>
      <c r="H40" s="2"/>
      <c r="I40" s="3"/>
      <c r="J40" s="2"/>
      <c r="K40" s="3"/>
      <c r="L40" s="7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1:51" ht="14.1" customHeight="1">
      <c r="A41" s="2" t="s">
        <v>34</v>
      </c>
      <c r="B41" s="2" t="s">
        <v>35</v>
      </c>
      <c r="C41" s="2"/>
      <c r="D41" s="2"/>
      <c r="E41" s="45"/>
      <c r="F41" s="45"/>
      <c r="G41" s="24"/>
      <c r="H41" s="24"/>
      <c r="I41" s="24"/>
      <c r="J41" s="24"/>
      <c r="K41" s="72"/>
      <c r="L41" s="4"/>
      <c r="M41" s="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51" ht="14.1" customHeight="1">
      <c r="A42" s="2"/>
      <c r="B42" s="2" t="s">
        <v>36</v>
      </c>
      <c r="C42" s="2"/>
      <c r="D42" s="2"/>
      <c r="E42" s="45"/>
      <c r="F42" s="45"/>
      <c r="G42" s="24"/>
      <c r="H42" s="24"/>
      <c r="I42" s="24"/>
      <c r="J42" s="24"/>
      <c r="K42" s="58"/>
      <c r="L42" s="4"/>
      <c r="M42" s="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51" ht="14.1" customHeight="1">
      <c r="A43" s="2" t="s">
        <v>37</v>
      </c>
      <c r="B43" s="2" t="s">
        <v>38</v>
      </c>
      <c r="C43" s="2"/>
      <c r="D43" s="2"/>
      <c r="E43" s="3"/>
      <c r="F43" s="3"/>
      <c r="G43" s="3"/>
      <c r="H43" s="22"/>
      <c r="I43" s="2"/>
      <c r="J43" s="2"/>
      <c r="K43" s="58"/>
      <c r="L43" s="4"/>
      <c r="M43" s="73"/>
      <c r="N43" s="73"/>
      <c r="O43" s="73"/>
      <c r="P43" s="73"/>
      <c r="Q43" s="2"/>
      <c r="R43" s="74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1:51" ht="14.1" customHeight="1">
      <c r="A44" s="2" t="s">
        <v>39</v>
      </c>
      <c r="B44" s="2" t="s">
        <v>40</v>
      </c>
      <c r="C44" s="4"/>
      <c r="D44" s="4"/>
      <c r="E44" s="3"/>
      <c r="F44" s="3"/>
      <c r="G44" s="3"/>
      <c r="H44" s="22"/>
      <c r="I44" s="2"/>
      <c r="J44" s="24"/>
      <c r="K44" s="2"/>
      <c r="L44" s="4"/>
      <c r="M44" s="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6" spans="1:51">
      <c r="D46" t="s">
        <v>41</v>
      </c>
    </row>
    <row r="47" spans="1:51">
      <c r="D47" t="s">
        <v>42</v>
      </c>
    </row>
  </sheetData>
  <mergeCells count="13">
    <mergeCell ref="BA3:BD3"/>
    <mergeCell ref="AC3:AF3"/>
    <mergeCell ref="AG3:AJ3"/>
    <mergeCell ref="AK3:AN3"/>
    <mergeCell ref="AO3:AR3"/>
    <mergeCell ref="AS3:AV3"/>
    <mergeCell ref="AW3:AZ3"/>
    <mergeCell ref="Y3:AB3"/>
    <mergeCell ref="E3:H3"/>
    <mergeCell ref="I3:L3"/>
    <mergeCell ref="M3:P3"/>
    <mergeCell ref="Q3:T3"/>
    <mergeCell ref="U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ggdebt lvl</vt:lpstr>
      <vt:lpstr>ggdebt percent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ephachero</dc:creator>
  <cp:lastModifiedBy>lchalcon</cp:lastModifiedBy>
  <dcterms:created xsi:type="dcterms:W3CDTF">2015-06-09T07:27:58Z</dcterms:created>
  <dcterms:modified xsi:type="dcterms:W3CDTF">2016-02-03T08:27:24Z</dcterms:modified>
</cp:coreProperties>
</file>