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675" firstSheet="1" activeTab="11"/>
  </bookViews>
  <sheets>
    <sheet name="Jan2017_FS" sheetId="79" r:id="rId1"/>
    <sheet name="Feb2017_FS" sheetId="81" r:id="rId2"/>
    <sheet name="Mar2017_FS" sheetId="84" r:id="rId3"/>
    <sheet name="Apr2017_FS" sheetId="85" r:id="rId4"/>
    <sheet name="May2017_FS" sheetId="86" r:id="rId5"/>
    <sheet name="Jun2017_MRD_FS" sheetId="91" r:id="rId6"/>
    <sheet name="Jul2017_FS" sheetId="92" r:id="rId7"/>
    <sheet name="Aug2017_FS" sheetId="93" r:id="rId8"/>
    <sheet name="Sep2017_FS" sheetId="96" r:id="rId9"/>
    <sheet name="Oct2017_FS" sheetId="97" r:id="rId10"/>
    <sheet name="Nov2017" sheetId="99" r:id="rId11"/>
    <sheet name="Dec2017Rev" sheetId="100" r:id="rId12"/>
    <sheet name="Sheet1" sheetId="78" r:id="rId13"/>
  </sheets>
  <definedNames>
    <definedName name="_xlnm.Print_Area" localSheetId="3">Apr2017_FS!$A$1:$AG$64</definedName>
    <definedName name="_xlnm.Print_Area" localSheetId="7" xml:space="preserve">  Aug2017_FS!$A$1:$AG$66</definedName>
    <definedName name="_xlnm.Print_Area" localSheetId="11" xml:space="preserve">  Dec2017Rev!$A$1:$AG$70</definedName>
    <definedName name="_xlnm.Print_Area" localSheetId="1">Feb2017_FS!$A$1:$AG$62</definedName>
    <definedName name="_xlnm.Print_Area" localSheetId="0">Jan2017_FS!$A$1:$AG$62</definedName>
    <definedName name="_xlnm.Print_Area" localSheetId="6">Jul2017_FS!$A$36:$N$66</definedName>
    <definedName name="_xlnm.Print_Area" localSheetId="5" xml:space="preserve">  Jun2017_MRD_FS!$A$1:$AG$64</definedName>
    <definedName name="_xlnm.Print_Area" localSheetId="2">Mar2017_FS!$A$1:$AG$62</definedName>
    <definedName name="_xlnm.Print_Area" localSheetId="4">May2017_FS!$A$1:$AG$60</definedName>
    <definedName name="_xlnm.Print_Area" localSheetId="10" xml:space="preserve">  'Nov2017'!$A$1:$AG$69</definedName>
    <definedName name="_xlnm.Print_Area" localSheetId="9" xml:space="preserve">  Oct2017_FS!$A$1:$AG$68</definedName>
    <definedName name="_xlnm.Print_Area" localSheetId="8" xml:space="preserve">  Sep2017_FS!$A$1:$AG$67</definedName>
    <definedName name="_xlnm.Print_Area" localSheetId="12">Sheet1!$A$1:$E$30</definedName>
  </definedNames>
  <calcPr calcId="124519"/>
</workbook>
</file>

<file path=xl/calcChain.xml><?xml version="1.0" encoding="utf-8"?>
<calcChain xmlns="http://schemas.openxmlformats.org/spreadsheetml/2006/main">
  <c r="AB109" i="100"/>
  <c r="X108"/>
  <c r="W104"/>
  <c r="W102"/>
  <c r="Y102" s="1"/>
  <c r="Y109" s="1"/>
  <c r="AB111" s="1"/>
  <c r="W98"/>
  <c r="X104" s="1"/>
  <c r="Y96"/>
  <c r="Y94"/>
  <c r="X94"/>
  <c r="X105" s="1"/>
  <c r="X109" s="1"/>
  <c r="W93"/>
  <c r="Y90"/>
  <c r="W87"/>
  <c r="N65"/>
  <c r="H65"/>
  <c r="N62"/>
  <c r="N66" s="1"/>
  <c r="N67" s="1"/>
  <c r="H62"/>
  <c r="H66" s="1"/>
  <c r="H67" s="1"/>
  <c r="N61"/>
  <c r="K61"/>
  <c r="N60"/>
  <c r="H60"/>
  <c r="N58"/>
  <c r="H58"/>
  <c r="N51"/>
  <c r="H51"/>
  <c r="M45"/>
  <c r="G45"/>
  <c r="G43"/>
  <c r="M42"/>
  <c r="G42"/>
  <c r="M41"/>
  <c r="G41"/>
  <c r="M40"/>
  <c r="M39"/>
  <c r="N38" s="1"/>
  <c r="N55" s="1"/>
  <c r="N57" s="1"/>
  <c r="N63" s="1"/>
  <c r="K38"/>
  <c r="H38"/>
  <c r="H55" s="1"/>
  <c r="H57" s="1"/>
  <c r="H63" s="1"/>
  <c r="AG31"/>
  <c r="Z31"/>
  <c r="Y31"/>
  <c r="X31"/>
  <c r="T31"/>
  <c r="S31"/>
  <c r="R31"/>
  <c r="Q31"/>
  <c r="O31"/>
  <c r="N31"/>
  <c r="M31"/>
  <c r="L31"/>
  <c r="I31"/>
  <c r="G31"/>
  <c r="AE29"/>
  <c r="AD29"/>
  <c r="AC29"/>
  <c r="AB29"/>
  <c r="AF29" s="1"/>
  <c r="AA29"/>
  <c r="V29"/>
  <c r="U29"/>
  <c r="P29"/>
  <c r="K29"/>
  <c r="W29" s="1"/>
  <c r="AE27"/>
  <c r="AD27"/>
  <c r="AC27"/>
  <c r="AB27"/>
  <c r="AF27" s="1"/>
  <c r="AA27"/>
  <c r="U27"/>
  <c r="P27"/>
  <c r="V27" s="1"/>
  <c r="K27"/>
  <c r="AH26"/>
  <c r="AJ25"/>
  <c r="AE25"/>
  <c r="AD25"/>
  <c r="AC25"/>
  <c r="AB25"/>
  <c r="AF25" s="1"/>
  <c r="AA25"/>
  <c r="V25"/>
  <c r="U25"/>
  <c r="P25"/>
  <c r="K25"/>
  <c r="W25" s="1"/>
  <c r="AD24"/>
  <c r="AA24"/>
  <c r="AE23"/>
  <c r="AD23"/>
  <c r="AC23"/>
  <c r="AB23"/>
  <c r="AF23" s="1"/>
  <c r="K51" s="1"/>
  <c r="K55" s="1"/>
  <c r="K57" s="1"/>
  <c r="AA23"/>
  <c r="U23"/>
  <c r="P23"/>
  <c r="V23" s="1"/>
  <c r="K23"/>
  <c r="W23" s="1"/>
  <c r="AH23" s="1"/>
  <c r="AH22"/>
  <c r="AE21"/>
  <c r="AD21"/>
  <c r="AC21"/>
  <c r="AB21"/>
  <c r="AF21" s="1"/>
  <c r="AA21"/>
  <c r="U21"/>
  <c r="P21"/>
  <c r="V21" s="1"/>
  <c r="K21"/>
  <c r="AE20"/>
  <c r="AD20"/>
  <c r="AC20"/>
  <c r="AB20"/>
  <c r="AF20" s="1"/>
  <c r="AA20"/>
  <c r="U20"/>
  <c r="P20"/>
  <c r="V20" s="1"/>
  <c r="K20"/>
  <c r="AD19"/>
  <c r="AC19"/>
  <c r="AB19"/>
  <c r="AF19" s="1"/>
  <c r="AA19"/>
  <c r="V19"/>
  <c r="U19"/>
  <c r="U31" s="1"/>
  <c r="P19"/>
  <c r="O19"/>
  <c r="K19"/>
  <c r="K31" s="1"/>
  <c r="J19"/>
  <c r="AE19" s="1"/>
  <c r="AE18"/>
  <c r="AE31" s="1"/>
  <c r="AD18"/>
  <c r="AD31" s="1"/>
  <c r="AB18"/>
  <c r="AB31" s="1"/>
  <c r="AA18"/>
  <c r="AA31" s="1"/>
  <c r="U18"/>
  <c r="P18"/>
  <c r="P31" s="1"/>
  <c r="K18"/>
  <c r="H18"/>
  <c r="AC18" s="1"/>
  <c r="AC31" s="1"/>
  <c r="AG2"/>
  <c r="W20" l="1"/>
  <c r="AH20" s="1"/>
  <c r="W21"/>
  <c r="AH21" s="1"/>
  <c r="W18"/>
  <c r="AH25"/>
  <c r="W27"/>
  <c r="AH27" s="1"/>
  <c r="AH29"/>
  <c r="J31"/>
  <c r="V18"/>
  <c r="V31" s="1"/>
  <c r="AF18"/>
  <c r="W19"/>
  <c r="AH19" s="1"/>
  <c r="H31"/>
  <c r="AF31" l="1"/>
  <c r="K62" s="1"/>
  <c r="AJ19"/>
  <c r="AJ27" s="1"/>
  <c r="AH18"/>
  <c r="AH31" s="1"/>
  <c r="W31"/>
  <c r="K66" l="1"/>
  <c r="K67" s="1"/>
  <c r="K63"/>
  <c r="R18" i="99" l="1"/>
  <c r="H18"/>
  <c r="N64"/>
  <c r="AB110"/>
  <c r="Y110"/>
  <c r="Y89"/>
  <c r="N61"/>
  <c r="N51"/>
  <c r="N38"/>
  <c r="M42"/>
  <c r="M41"/>
  <c r="K38"/>
  <c r="H38"/>
  <c r="H64" l="1"/>
  <c r="H61"/>
  <c r="H51"/>
  <c r="G42"/>
  <c r="G41"/>
  <c r="H55"/>
  <c r="H57" s="1"/>
  <c r="H62" s="1"/>
  <c r="AB108"/>
  <c r="X107"/>
  <c r="W103"/>
  <c r="W101"/>
  <c r="X103" s="1"/>
  <c r="Y97"/>
  <c r="W97"/>
  <c r="Y95"/>
  <c r="Y93"/>
  <c r="W92"/>
  <c r="W86"/>
  <c r="N65"/>
  <c r="H65"/>
  <c r="H66" s="1"/>
  <c r="N60"/>
  <c r="H60"/>
  <c r="N58"/>
  <c r="H58"/>
  <c r="M45"/>
  <c r="G45"/>
  <c r="M40"/>
  <c r="M39"/>
  <c r="AG31"/>
  <c r="Z31"/>
  <c r="Y31"/>
  <c r="X31"/>
  <c r="T31"/>
  <c r="S31"/>
  <c r="R31"/>
  <c r="Q31"/>
  <c r="O31"/>
  <c r="N31"/>
  <c r="M31"/>
  <c r="L31"/>
  <c r="J31"/>
  <c r="I31"/>
  <c r="H31"/>
  <c r="AE29"/>
  <c r="AD29"/>
  <c r="AC29"/>
  <c r="AB29"/>
  <c r="AF29" s="1"/>
  <c r="AA29"/>
  <c r="V29"/>
  <c r="U29"/>
  <c r="P29"/>
  <c r="K29"/>
  <c r="W29" s="1"/>
  <c r="AH29" s="1"/>
  <c r="AE27"/>
  <c r="AD27"/>
  <c r="AC27"/>
  <c r="AB27"/>
  <c r="AF27" s="1"/>
  <c r="AA27"/>
  <c r="U27"/>
  <c r="P27"/>
  <c r="V27" s="1"/>
  <c r="K27"/>
  <c r="W27" s="1"/>
  <c r="AH27" s="1"/>
  <c r="AH26"/>
  <c r="AJ25"/>
  <c r="AE25"/>
  <c r="AD25"/>
  <c r="AC25"/>
  <c r="AB25"/>
  <c r="AF25" s="1"/>
  <c r="AA25"/>
  <c r="V25"/>
  <c r="U25"/>
  <c r="P25"/>
  <c r="K25"/>
  <c r="W25" s="1"/>
  <c r="AH25" s="1"/>
  <c r="AD24"/>
  <c r="AA24"/>
  <c r="AE23"/>
  <c r="AD23"/>
  <c r="AD31" s="1"/>
  <c r="AC23"/>
  <c r="AB23"/>
  <c r="AA23"/>
  <c r="U23"/>
  <c r="P23"/>
  <c r="V23" s="1"/>
  <c r="K23"/>
  <c r="AH22"/>
  <c r="AE21"/>
  <c r="AD21"/>
  <c r="AC21"/>
  <c r="AB21"/>
  <c r="AA21"/>
  <c r="U21"/>
  <c r="P21"/>
  <c r="K21"/>
  <c r="AE20"/>
  <c r="AD20"/>
  <c r="AC20"/>
  <c r="AB20"/>
  <c r="AA20"/>
  <c r="AA31" s="1"/>
  <c r="U20"/>
  <c r="P20"/>
  <c r="K20"/>
  <c r="AE19"/>
  <c r="AD19"/>
  <c r="AC19"/>
  <c r="AB19"/>
  <c r="AA19"/>
  <c r="U19"/>
  <c r="P19"/>
  <c r="K19"/>
  <c r="AE18"/>
  <c r="AD18"/>
  <c r="AC18"/>
  <c r="AA18"/>
  <c r="U18"/>
  <c r="P18"/>
  <c r="AB18"/>
  <c r="AG2"/>
  <c r="N56" i="97"/>
  <c r="N38"/>
  <c r="H38"/>
  <c r="K38"/>
  <c r="O61"/>
  <c r="O60"/>
  <c r="L60"/>
  <c r="J60"/>
  <c r="N60"/>
  <c r="N59"/>
  <c r="H60"/>
  <c r="H59"/>
  <c r="AB107"/>
  <c r="X106"/>
  <c r="X102"/>
  <c r="W102"/>
  <c r="W100"/>
  <c r="Y100" s="1"/>
  <c r="Y96"/>
  <c r="W96"/>
  <c r="Y94"/>
  <c r="Y92"/>
  <c r="W91"/>
  <c r="Y88"/>
  <c r="W85"/>
  <c r="X92" s="1"/>
  <c r="X103" s="1"/>
  <c r="X107" s="1"/>
  <c r="N63"/>
  <c r="H63"/>
  <c r="N64"/>
  <c r="H64"/>
  <c r="N57"/>
  <c r="H57"/>
  <c r="N50"/>
  <c r="Q41" s="1"/>
  <c r="H50"/>
  <c r="M44"/>
  <c r="G44"/>
  <c r="M42"/>
  <c r="G42"/>
  <c r="M41"/>
  <c r="G41"/>
  <c r="H54" s="1"/>
  <c r="H56" s="1"/>
  <c r="H61" s="1"/>
  <c r="M40"/>
  <c r="M39"/>
  <c r="N54"/>
  <c r="N61" s="1"/>
  <c r="AG31"/>
  <c r="Z31"/>
  <c r="Y31"/>
  <c r="X31"/>
  <c r="T31"/>
  <c r="S31"/>
  <c r="R31"/>
  <c r="Q31"/>
  <c r="O31"/>
  <c r="N31"/>
  <c r="M31"/>
  <c r="L31"/>
  <c r="J31"/>
  <c r="I31"/>
  <c r="H31"/>
  <c r="AE29"/>
  <c r="AD29"/>
  <c r="AC29"/>
  <c r="AB29"/>
  <c r="AF29" s="1"/>
  <c r="AA29"/>
  <c r="U29"/>
  <c r="V29" s="1"/>
  <c r="P29"/>
  <c r="K29"/>
  <c r="W29" s="1"/>
  <c r="AH29" s="1"/>
  <c r="AE27"/>
  <c r="AD27"/>
  <c r="AC27"/>
  <c r="AB27"/>
  <c r="AF27" s="1"/>
  <c r="AA27"/>
  <c r="V27"/>
  <c r="U27"/>
  <c r="P27"/>
  <c r="K27"/>
  <c r="W27" s="1"/>
  <c r="AH27" s="1"/>
  <c r="AH26"/>
  <c r="AJ25"/>
  <c r="AE25"/>
  <c r="AD25"/>
  <c r="AC25"/>
  <c r="AB25"/>
  <c r="AF25" s="1"/>
  <c r="AA25"/>
  <c r="U25"/>
  <c r="P25"/>
  <c r="V25" s="1"/>
  <c r="K25"/>
  <c r="AD24"/>
  <c r="AA24"/>
  <c r="AE23"/>
  <c r="AD23"/>
  <c r="AC23"/>
  <c r="AC31" s="1"/>
  <c r="AB23"/>
  <c r="AF23" s="1"/>
  <c r="K50" s="1"/>
  <c r="AA23"/>
  <c r="V23"/>
  <c r="U23"/>
  <c r="P23"/>
  <c r="K23"/>
  <c r="W23" s="1"/>
  <c r="AH22"/>
  <c r="AE21"/>
  <c r="AD21"/>
  <c r="AC21"/>
  <c r="AB21"/>
  <c r="AF21" s="1"/>
  <c r="AA21"/>
  <c r="U21"/>
  <c r="P21"/>
  <c r="V21" s="1"/>
  <c r="K21"/>
  <c r="AE20"/>
  <c r="AD20"/>
  <c r="AD31" s="1"/>
  <c r="AC20"/>
  <c r="AB20"/>
  <c r="AF20" s="1"/>
  <c r="AA20"/>
  <c r="U20"/>
  <c r="P20"/>
  <c r="V20" s="1"/>
  <c r="K20"/>
  <c r="AE19"/>
  <c r="AD19"/>
  <c r="AC19"/>
  <c r="AB19"/>
  <c r="AF19" s="1"/>
  <c r="AA19"/>
  <c r="U19"/>
  <c r="P19"/>
  <c r="V19" s="1"/>
  <c r="K19"/>
  <c r="AE18"/>
  <c r="AE31" s="1"/>
  <c r="AD18"/>
  <c r="AC18"/>
  <c r="AB18"/>
  <c r="AB31" s="1"/>
  <c r="AA18"/>
  <c r="AA31" s="1"/>
  <c r="U18"/>
  <c r="U31" s="1"/>
  <c r="P18"/>
  <c r="P31" s="1"/>
  <c r="K18"/>
  <c r="G18"/>
  <c r="G31" s="1"/>
  <c r="AG2"/>
  <c r="N59" i="96"/>
  <c r="L59"/>
  <c r="K59"/>
  <c r="N58"/>
  <c r="K58"/>
  <c r="H18"/>
  <c r="AB106"/>
  <c r="X105"/>
  <c r="W101"/>
  <c r="W99"/>
  <c r="X101" s="1"/>
  <c r="Y95"/>
  <c r="W95"/>
  <c r="Y93"/>
  <c r="Y91"/>
  <c r="W90"/>
  <c r="W84"/>
  <c r="X91" s="1"/>
  <c r="X102" s="1"/>
  <c r="X106" s="1"/>
  <c r="N62"/>
  <c r="H62"/>
  <c r="N63"/>
  <c r="N64" s="1"/>
  <c r="H59"/>
  <c r="H63" s="1"/>
  <c r="N56"/>
  <c r="H56"/>
  <c r="N49"/>
  <c r="Q41" s="1"/>
  <c r="H49"/>
  <c r="M44"/>
  <c r="G44"/>
  <c r="M42"/>
  <c r="G42"/>
  <c r="M41"/>
  <c r="G41"/>
  <c r="H38" s="1"/>
  <c r="H53" s="1"/>
  <c r="H55" s="1"/>
  <c r="H60" s="1"/>
  <c r="M40"/>
  <c r="M39"/>
  <c r="N38" s="1"/>
  <c r="K38"/>
  <c r="K53" s="1"/>
  <c r="K55" s="1"/>
  <c r="AG31"/>
  <c r="Z31"/>
  <c r="Y31"/>
  <c r="X31"/>
  <c r="T31"/>
  <c r="S31"/>
  <c r="R31"/>
  <c r="Q31"/>
  <c r="O31"/>
  <c r="N31"/>
  <c r="M31"/>
  <c r="L31"/>
  <c r="J31"/>
  <c r="I31"/>
  <c r="H31"/>
  <c r="G31"/>
  <c r="AE29"/>
  <c r="AD29"/>
  <c r="AC29"/>
  <c r="AB29"/>
  <c r="AF29" s="1"/>
  <c r="AA29"/>
  <c r="V29"/>
  <c r="U29"/>
  <c r="P29"/>
  <c r="K29"/>
  <c r="W29" s="1"/>
  <c r="AE27"/>
  <c r="AD27"/>
  <c r="AC27"/>
  <c r="AB27"/>
  <c r="AF27" s="1"/>
  <c r="AA27"/>
  <c r="V27"/>
  <c r="U27"/>
  <c r="P27"/>
  <c r="K27"/>
  <c r="W27" s="1"/>
  <c r="AH26"/>
  <c r="AJ25"/>
  <c r="AE25"/>
  <c r="AD25"/>
  <c r="AC25"/>
  <c r="AB25"/>
  <c r="AF25" s="1"/>
  <c r="AA25"/>
  <c r="U25"/>
  <c r="P25"/>
  <c r="V25" s="1"/>
  <c r="K25"/>
  <c r="W25" s="1"/>
  <c r="AH25" s="1"/>
  <c r="AD24"/>
  <c r="AA24"/>
  <c r="AE23"/>
  <c r="AD23"/>
  <c r="AC23"/>
  <c r="AB23"/>
  <c r="AF23" s="1"/>
  <c r="K49" s="1"/>
  <c r="AA23"/>
  <c r="V23"/>
  <c r="U23"/>
  <c r="P23"/>
  <c r="K23"/>
  <c r="W23" s="1"/>
  <c r="AH23" s="1"/>
  <c r="AH22"/>
  <c r="AE21"/>
  <c r="AD21"/>
  <c r="AC21"/>
  <c r="AB21"/>
  <c r="AF21" s="1"/>
  <c r="AA21"/>
  <c r="U21"/>
  <c r="P21"/>
  <c r="V21" s="1"/>
  <c r="K21"/>
  <c r="W21" s="1"/>
  <c r="AH21" s="1"/>
  <c r="AE20"/>
  <c r="AD20"/>
  <c r="AC20"/>
  <c r="AB20"/>
  <c r="AF20" s="1"/>
  <c r="AA20"/>
  <c r="U20"/>
  <c r="P20"/>
  <c r="V20" s="1"/>
  <c r="K20"/>
  <c r="W20" s="1"/>
  <c r="AH20" s="1"/>
  <c r="AE19"/>
  <c r="AD19"/>
  <c r="AC19"/>
  <c r="AB19"/>
  <c r="AF19" s="1"/>
  <c r="AA19"/>
  <c r="U19"/>
  <c r="P19"/>
  <c r="V19" s="1"/>
  <c r="K19"/>
  <c r="W19" s="1"/>
  <c r="AH19" s="1"/>
  <c r="AE18"/>
  <c r="AE31" s="1"/>
  <c r="AD18"/>
  <c r="AD31" s="1"/>
  <c r="AC18"/>
  <c r="AC31" s="1"/>
  <c r="AB18"/>
  <c r="AB31" s="1"/>
  <c r="AA18"/>
  <c r="AA31" s="1"/>
  <c r="U18"/>
  <c r="U31" s="1"/>
  <c r="P18"/>
  <c r="P31" s="1"/>
  <c r="K18"/>
  <c r="AG2"/>
  <c r="L58" i="93"/>
  <c r="O59" i="92"/>
  <c r="O58"/>
  <c r="L58"/>
  <c r="I58"/>
  <c r="L56" i="91"/>
  <c r="I56"/>
  <c r="O54" i="86"/>
  <c r="O53"/>
  <c r="L54"/>
  <c r="L53"/>
  <c r="I53"/>
  <c r="O53" i="85"/>
  <c r="O52"/>
  <c r="L53"/>
  <c r="L52"/>
  <c r="I52"/>
  <c r="L50" i="84"/>
  <c r="I51"/>
  <c r="I50"/>
  <c r="X93" i="99" l="1"/>
  <c r="X104" s="1"/>
  <c r="X108" s="1"/>
  <c r="Y86"/>
  <c r="N66"/>
  <c r="V19"/>
  <c r="U31"/>
  <c r="V18"/>
  <c r="V20"/>
  <c r="V21"/>
  <c r="W21" s="1"/>
  <c r="W19"/>
  <c r="P31"/>
  <c r="AE31"/>
  <c r="AF23"/>
  <c r="K51" s="1"/>
  <c r="K55" s="1"/>
  <c r="K57" s="1"/>
  <c r="AC31"/>
  <c r="AF19"/>
  <c r="AF20"/>
  <c r="AF21"/>
  <c r="N55"/>
  <c r="N57" s="1"/>
  <c r="N62" s="1"/>
  <c r="AF18"/>
  <c r="AB31"/>
  <c r="W23"/>
  <c r="K18"/>
  <c r="Y101"/>
  <c r="Y108" s="1"/>
  <c r="G31"/>
  <c r="H65" i="97"/>
  <c r="W19"/>
  <c r="AH19" s="1"/>
  <c r="W20"/>
  <c r="AH20" s="1"/>
  <c r="W21"/>
  <c r="AH21" s="1"/>
  <c r="W25"/>
  <c r="AH25" s="1"/>
  <c r="N65"/>
  <c r="K54"/>
  <c r="K56" s="1"/>
  <c r="AH23"/>
  <c r="V18"/>
  <c r="V31" s="1"/>
  <c r="K31"/>
  <c r="Q43"/>
  <c r="AF18"/>
  <c r="Y85"/>
  <c r="Y107" s="1"/>
  <c r="AB109" s="1"/>
  <c r="Q40"/>
  <c r="Q42" s="1"/>
  <c r="Q44" s="1"/>
  <c r="AH27" i="96"/>
  <c r="N53"/>
  <c r="N55" s="1"/>
  <c r="N60" s="1"/>
  <c r="Q40"/>
  <c r="Q42" s="1"/>
  <c r="AH29"/>
  <c r="H64"/>
  <c r="V18"/>
  <c r="V31" s="1"/>
  <c r="K31"/>
  <c r="Q43"/>
  <c r="I59"/>
  <c r="Y84"/>
  <c r="Y106" s="1"/>
  <c r="AB108" s="1"/>
  <c r="Y99"/>
  <c r="AF18"/>
  <c r="D13" i="78"/>
  <c r="D11"/>
  <c r="D18"/>
  <c r="D17"/>
  <c r="D19" s="1"/>
  <c r="N58" i="93"/>
  <c r="H58"/>
  <c r="N58" i="92"/>
  <c r="H18"/>
  <c r="N56"/>
  <c r="N56" i="93"/>
  <c r="H56"/>
  <c r="H56" i="92"/>
  <c r="N54" i="91"/>
  <c r="H54"/>
  <c r="N56"/>
  <c r="V31" i="99" l="1"/>
  <c r="W20"/>
  <c r="AH20" s="1"/>
  <c r="AH19"/>
  <c r="AH23"/>
  <c r="AH21"/>
  <c r="K31"/>
  <c r="W18"/>
  <c r="AF31"/>
  <c r="K61" s="1"/>
  <c r="AJ19"/>
  <c r="AJ27" s="1"/>
  <c r="AF31" i="97"/>
  <c r="K60" s="1"/>
  <c r="K64" s="1"/>
  <c r="K65" s="1"/>
  <c r="AJ19"/>
  <c r="AJ27" s="1"/>
  <c r="K61"/>
  <c r="W18"/>
  <c r="AF31" i="96"/>
  <c r="AJ19"/>
  <c r="AJ27" s="1"/>
  <c r="Q44"/>
  <c r="W18"/>
  <c r="K58" i="93"/>
  <c r="AB105"/>
  <c r="X104"/>
  <c r="X100"/>
  <c r="W100"/>
  <c r="W98"/>
  <c r="Y98" s="1"/>
  <c r="Y94"/>
  <c r="W94"/>
  <c r="Y92"/>
  <c r="Y90"/>
  <c r="W89"/>
  <c r="W83"/>
  <c r="X90" s="1"/>
  <c r="X101" s="1"/>
  <c r="X105" s="1"/>
  <c r="N61"/>
  <c r="H61"/>
  <c r="N62"/>
  <c r="N63" s="1"/>
  <c r="H62"/>
  <c r="N49"/>
  <c r="H49"/>
  <c r="M44"/>
  <c r="G44"/>
  <c r="M42"/>
  <c r="M41"/>
  <c r="M40"/>
  <c r="M39"/>
  <c r="N38"/>
  <c r="N53" s="1"/>
  <c r="N55" s="1"/>
  <c r="N59" s="1"/>
  <c r="K38"/>
  <c r="H38"/>
  <c r="H53" s="1"/>
  <c r="H55" s="1"/>
  <c r="H59" s="1"/>
  <c r="AG31"/>
  <c r="Z31"/>
  <c r="Y31"/>
  <c r="X31"/>
  <c r="T31"/>
  <c r="S31"/>
  <c r="R31"/>
  <c r="Q31"/>
  <c r="O31"/>
  <c r="N31"/>
  <c r="M31"/>
  <c r="L31"/>
  <c r="J31"/>
  <c r="I31"/>
  <c r="H31"/>
  <c r="G31"/>
  <c r="AE29"/>
  <c r="AD29"/>
  <c r="AC29"/>
  <c r="AB29"/>
  <c r="AF29" s="1"/>
  <c r="AA29"/>
  <c r="U29"/>
  <c r="P29"/>
  <c r="V29" s="1"/>
  <c r="K29"/>
  <c r="AE27"/>
  <c r="AD27"/>
  <c r="AC27"/>
  <c r="AB27"/>
  <c r="AF27" s="1"/>
  <c r="AA27"/>
  <c r="V27"/>
  <c r="U27"/>
  <c r="P27"/>
  <c r="K27"/>
  <c r="W27" s="1"/>
  <c r="AH26"/>
  <c r="AJ25"/>
  <c r="AE25"/>
  <c r="AD25"/>
  <c r="AC25"/>
  <c r="AB25"/>
  <c r="AF25" s="1"/>
  <c r="AA25"/>
  <c r="U25"/>
  <c r="P25"/>
  <c r="V25" s="1"/>
  <c r="K25"/>
  <c r="AD24"/>
  <c r="AA24"/>
  <c r="AE23"/>
  <c r="AD23"/>
  <c r="AC23"/>
  <c r="AB23"/>
  <c r="AB31" s="1"/>
  <c r="AA23"/>
  <c r="V23"/>
  <c r="U23"/>
  <c r="U31" s="1"/>
  <c r="P23"/>
  <c r="K23"/>
  <c r="W23" s="1"/>
  <c r="AH22"/>
  <c r="AE21"/>
  <c r="AD21"/>
  <c r="AC21"/>
  <c r="AB21"/>
  <c r="AF21" s="1"/>
  <c r="AA21"/>
  <c r="V21"/>
  <c r="U21"/>
  <c r="P21"/>
  <c r="K21"/>
  <c r="W21" s="1"/>
  <c r="AE20"/>
  <c r="AD20"/>
  <c r="AC20"/>
  <c r="AC31" s="1"/>
  <c r="AB20"/>
  <c r="AF20" s="1"/>
  <c r="AA20"/>
  <c r="V20"/>
  <c r="U20"/>
  <c r="P20"/>
  <c r="K20"/>
  <c r="W20" s="1"/>
  <c r="AE19"/>
  <c r="AD19"/>
  <c r="AC19"/>
  <c r="AB19"/>
  <c r="AF19" s="1"/>
  <c r="AA19"/>
  <c r="U19"/>
  <c r="P19"/>
  <c r="V19" s="1"/>
  <c r="K19"/>
  <c r="AE18"/>
  <c r="AE31" s="1"/>
  <c r="AD18"/>
  <c r="AD31" s="1"/>
  <c r="AC18"/>
  <c r="AB18"/>
  <c r="AF18" s="1"/>
  <c r="AA18"/>
  <c r="AA31" s="1"/>
  <c r="U18"/>
  <c r="P18"/>
  <c r="V18" s="1"/>
  <c r="K18"/>
  <c r="K31" s="1"/>
  <c r="AG2"/>
  <c r="AB105" i="92"/>
  <c r="X104"/>
  <c r="W100"/>
  <c r="W98"/>
  <c r="X100" s="1"/>
  <c r="Y94"/>
  <c r="W94"/>
  <c r="Y92"/>
  <c r="Y90"/>
  <c r="W89"/>
  <c r="W83"/>
  <c r="X90" s="1"/>
  <c r="X101" s="1"/>
  <c r="X105" s="1"/>
  <c r="N61"/>
  <c r="H61"/>
  <c r="N62"/>
  <c r="N63" s="1"/>
  <c r="H62"/>
  <c r="N49"/>
  <c r="H49"/>
  <c r="M44"/>
  <c r="G44"/>
  <c r="M40"/>
  <c r="M39"/>
  <c r="N38" s="1"/>
  <c r="N53" s="1"/>
  <c r="N55" s="1"/>
  <c r="N59" s="1"/>
  <c r="K38"/>
  <c r="H38"/>
  <c r="H53" s="1"/>
  <c r="H55" s="1"/>
  <c r="H59" s="1"/>
  <c r="AG31"/>
  <c r="Z31"/>
  <c r="Y31"/>
  <c r="X31"/>
  <c r="T31"/>
  <c r="S31"/>
  <c r="R31"/>
  <c r="Q31"/>
  <c r="O31"/>
  <c r="N31"/>
  <c r="M31"/>
  <c r="L31"/>
  <c r="J31"/>
  <c r="I31"/>
  <c r="H31"/>
  <c r="AE29"/>
  <c r="AD29"/>
  <c r="AC29"/>
  <c r="AB29"/>
  <c r="AF29" s="1"/>
  <c r="AA29"/>
  <c r="V29"/>
  <c r="U29"/>
  <c r="P29"/>
  <c r="K29"/>
  <c r="W29" s="1"/>
  <c r="AE27"/>
  <c r="AD27"/>
  <c r="AC27"/>
  <c r="AB27"/>
  <c r="AF27" s="1"/>
  <c r="AA27"/>
  <c r="U27"/>
  <c r="P27"/>
  <c r="V27" s="1"/>
  <c r="K27"/>
  <c r="AH26"/>
  <c r="AJ25"/>
  <c r="AE25"/>
  <c r="AD25"/>
  <c r="AC25"/>
  <c r="AB25"/>
  <c r="AF25" s="1"/>
  <c r="AA25"/>
  <c r="V25"/>
  <c r="U25"/>
  <c r="P25"/>
  <c r="K25"/>
  <c r="W25" s="1"/>
  <c r="AD24"/>
  <c r="AA24"/>
  <c r="AE23"/>
  <c r="AD23"/>
  <c r="AD31" s="1"/>
  <c r="AC23"/>
  <c r="AB23"/>
  <c r="AF23" s="1"/>
  <c r="K49" s="1"/>
  <c r="K53" s="1"/>
  <c r="K55" s="1"/>
  <c r="AA23"/>
  <c r="U23"/>
  <c r="P23"/>
  <c r="V23" s="1"/>
  <c r="K23"/>
  <c r="AH22"/>
  <c r="AE21"/>
  <c r="AD21"/>
  <c r="AC21"/>
  <c r="AB21"/>
  <c r="AF21" s="1"/>
  <c r="AA21"/>
  <c r="U21"/>
  <c r="P21"/>
  <c r="V21" s="1"/>
  <c r="K21"/>
  <c r="W21" s="1"/>
  <c r="AH21" s="1"/>
  <c r="AE20"/>
  <c r="AE31" s="1"/>
  <c r="AD20"/>
  <c r="AC20"/>
  <c r="AB20"/>
  <c r="AF20" s="1"/>
  <c r="AA20"/>
  <c r="AA31" s="1"/>
  <c r="U20"/>
  <c r="P20"/>
  <c r="V20" s="1"/>
  <c r="K20"/>
  <c r="W20" s="1"/>
  <c r="AH20" s="1"/>
  <c r="AE19"/>
  <c r="AD19"/>
  <c r="AC19"/>
  <c r="AB19"/>
  <c r="AF19" s="1"/>
  <c r="AA19"/>
  <c r="V19"/>
  <c r="U19"/>
  <c r="P19"/>
  <c r="K19"/>
  <c r="W19" s="1"/>
  <c r="AE18"/>
  <c r="AD18"/>
  <c r="AC18"/>
  <c r="AC31" s="1"/>
  <c r="AA18"/>
  <c r="V18"/>
  <c r="U18"/>
  <c r="U31" s="1"/>
  <c r="P18"/>
  <c r="P31" s="1"/>
  <c r="G18"/>
  <c r="G31" s="1"/>
  <c r="AG2"/>
  <c r="N60" i="91"/>
  <c r="AB101"/>
  <c r="X100"/>
  <c r="Y96"/>
  <c r="W96"/>
  <c r="W92"/>
  <c r="X96" s="1"/>
  <c r="Y90"/>
  <c r="Y88"/>
  <c r="W87"/>
  <c r="Y84"/>
  <c r="Y81"/>
  <c r="W81"/>
  <c r="X88" s="1"/>
  <c r="X97" s="1"/>
  <c r="X101" s="1"/>
  <c r="N59"/>
  <c r="H59"/>
  <c r="N61"/>
  <c r="H56"/>
  <c r="H60" s="1"/>
  <c r="H61" s="1"/>
  <c r="K51"/>
  <c r="K53" s="1"/>
  <c r="N47"/>
  <c r="H47"/>
  <c r="M42"/>
  <c r="G42"/>
  <c r="M40"/>
  <c r="G40"/>
  <c r="M39"/>
  <c r="N38" s="1"/>
  <c r="N51" s="1"/>
  <c r="N53" s="1"/>
  <c r="N57" s="1"/>
  <c r="G39"/>
  <c r="K38"/>
  <c r="H38"/>
  <c r="H51" s="1"/>
  <c r="H53" s="1"/>
  <c r="H57" s="1"/>
  <c r="AG31"/>
  <c r="Z31"/>
  <c r="Y31"/>
  <c r="X31"/>
  <c r="T31"/>
  <c r="S31"/>
  <c r="R31"/>
  <c r="Q31"/>
  <c r="O31"/>
  <c r="N31"/>
  <c r="M31"/>
  <c r="L31"/>
  <c r="J31"/>
  <c r="I31"/>
  <c r="H31"/>
  <c r="G31"/>
  <c r="AE29"/>
  <c r="AD29"/>
  <c r="AC29"/>
  <c r="AB29"/>
  <c r="AF29" s="1"/>
  <c r="AA29"/>
  <c r="U29"/>
  <c r="P29"/>
  <c r="V29" s="1"/>
  <c r="K29"/>
  <c r="AE27"/>
  <c r="AD27"/>
  <c r="AC27"/>
  <c r="AB27"/>
  <c r="AF27" s="1"/>
  <c r="AA27"/>
  <c r="U27"/>
  <c r="P27"/>
  <c r="V27" s="1"/>
  <c r="K27"/>
  <c r="AH26"/>
  <c r="AJ25"/>
  <c r="AE25"/>
  <c r="AD25"/>
  <c r="AC25"/>
  <c r="AB25"/>
  <c r="AF25" s="1"/>
  <c r="AA25"/>
  <c r="V25"/>
  <c r="U25"/>
  <c r="P25"/>
  <c r="K25"/>
  <c r="W25" s="1"/>
  <c r="AH25" s="1"/>
  <c r="AD24"/>
  <c r="AA24"/>
  <c r="AE23"/>
  <c r="AD23"/>
  <c r="AC23"/>
  <c r="AB23"/>
  <c r="AF23" s="1"/>
  <c r="AA23"/>
  <c r="AA31" s="1"/>
  <c r="U23"/>
  <c r="P23"/>
  <c r="V23" s="1"/>
  <c r="K23"/>
  <c r="AH22"/>
  <c r="AE21"/>
  <c r="AD21"/>
  <c r="AC21"/>
  <c r="AB21"/>
  <c r="AF21" s="1"/>
  <c r="AA21"/>
  <c r="U21"/>
  <c r="V21" s="1"/>
  <c r="P21"/>
  <c r="K21"/>
  <c r="AE20"/>
  <c r="AD20"/>
  <c r="AC20"/>
  <c r="AB20"/>
  <c r="AF20" s="1"/>
  <c r="AA20"/>
  <c r="U20"/>
  <c r="V20" s="1"/>
  <c r="P20"/>
  <c r="K20"/>
  <c r="AE19"/>
  <c r="AD19"/>
  <c r="AC19"/>
  <c r="AB19"/>
  <c r="AA19"/>
  <c r="V19"/>
  <c r="U19"/>
  <c r="P19"/>
  <c r="K19"/>
  <c r="W19" s="1"/>
  <c r="AE18"/>
  <c r="AD18"/>
  <c r="AD31" s="1"/>
  <c r="AC18"/>
  <c r="AB18"/>
  <c r="AA18"/>
  <c r="V18"/>
  <c r="U18"/>
  <c r="U31" s="1"/>
  <c r="P18"/>
  <c r="P31" s="1"/>
  <c r="K18"/>
  <c r="W18" s="1"/>
  <c r="AG2"/>
  <c r="W31" i="99" l="1"/>
  <c r="AH18"/>
  <c r="AH31" s="1"/>
  <c r="K65"/>
  <c r="K66" s="1"/>
  <c r="K62"/>
  <c r="W31" i="97"/>
  <c r="AH18"/>
  <c r="AH31" s="1"/>
  <c r="W31" i="96"/>
  <c r="AH18"/>
  <c r="AH31" s="1"/>
  <c r="K63"/>
  <c r="K64" s="1"/>
  <c r="K60"/>
  <c r="AC31" i="91"/>
  <c r="AF19"/>
  <c r="AH19" s="1"/>
  <c r="AE31"/>
  <c r="AJ19" i="93"/>
  <c r="AJ27" s="1"/>
  <c r="W25"/>
  <c r="AH25" s="1"/>
  <c r="V31"/>
  <c r="AH21"/>
  <c r="W29"/>
  <c r="AH29" s="1"/>
  <c r="W19"/>
  <c r="AH19" s="1"/>
  <c r="AH20"/>
  <c r="AH27"/>
  <c r="H63"/>
  <c r="W18"/>
  <c r="AF23"/>
  <c r="K49" s="1"/>
  <c r="K53" s="1"/>
  <c r="K55" s="1"/>
  <c r="P31"/>
  <c r="Y83"/>
  <c r="Y105" s="1"/>
  <c r="AB107" s="1"/>
  <c r="AH19" i="92"/>
  <c r="AH25"/>
  <c r="V31"/>
  <c r="W27"/>
  <c r="AH27" s="1"/>
  <c r="AH29"/>
  <c r="H63"/>
  <c r="W23"/>
  <c r="AH23" s="1"/>
  <c r="AB18"/>
  <c r="K18"/>
  <c r="Y83"/>
  <c r="Y105" s="1"/>
  <c r="AB107" s="1"/>
  <c r="Y98"/>
  <c r="AF18" i="91"/>
  <c r="K31"/>
  <c r="AH18"/>
  <c r="W27"/>
  <c r="AH27" s="1"/>
  <c r="V31"/>
  <c r="W23"/>
  <c r="AH23" s="1"/>
  <c r="W20"/>
  <c r="AH20" s="1"/>
  <c r="W21"/>
  <c r="AH21" s="1"/>
  <c r="AB31"/>
  <c r="Y92"/>
  <c r="Y101" s="1"/>
  <c r="AB103" s="1"/>
  <c r="W29"/>
  <c r="AH29" s="1"/>
  <c r="AJ19" l="1"/>
  <c r="AJ27" s="1"/>
  <c r="AF31"/>
  <c r="K56" s="1"/>
  <c r="K60" s="1"/>
  <c r="K61" s="1"/>
  <c r="W31" i="93"/>
  <c r="AH18"/>
  <c r="AH31" s="1"/>
  <c r="AH23"/>
  <c r="AF31"/>
  <c r="K62" s="1"/>
  <c r="K63" s="1"/>
  <c r="K31" i="92"/>
  <c r="W18"/>
  <c r="AF18"/>
  <c r="AB31"/>
  <c r="W31" i="91"/>
  <c r="AH31"/>
  <c r="AJ31" i="92" l="1"/>
  <c r="AH14"/>
  <c r="AH13" s="1"/>
  <c r="AH39" s="1"/>
  <c r="K57" i="91"/>
  <c r="K59" i="93"/>
  <c r="AF31" i="92"/>
  <c r="K58" s="1"/>
  <c r="AJ19"/>
  <c r="AJ27" s="1"/>
  <c r="AH18"/>
  <c r="AH31" s="1"/>
  <c r="W31"/>
  <c r="K62" l="1"/>
  <c r="K63" s="1"/>
  <c r="K59"/>
  <c r="AJ19" i="86"/>
  <c r="N56"/>
  <c r="N55"/>
  <c r="Y90"/>
  <c r="AB97"/>
  <c r="N53"/>
  <c r="N45"/>
  <c r="N37"/>
  <c r="M39"/>
  <c r="M38"/>
  <c r="G18"/>
  <c r="H56" l="1"/>
  <c r="H55"/>
  <c r="H53"/>
  <c r="G39"/>
  <c r="G38"/>
  <c r="AB95"/>
  <c r="X94"/>
  <c r="W90"/>
  <c r="Y86"/>
  <c r="W86"/>
  <c r="X90" s="1"/>
  <c r="Y84"/>
  <c r="Y82"/>
  <c r="X82"/>
  <c r="W81"/>
  <c r="Y78"/>
  <c r="Y77"/>
  <c r="W77"/>
  <c r="N57"/>
  <c r="H57"/>
  <c r="N52"/>
  <c r="H52"/>
  <c r="M41"/>
  <c r="G41"/>
  <c r="H37"/>
  <c r="H49" s="1"/>
  <c r="H51" s="1"/>
  <c r="H54" s="1"/>
  <c r="N49"/>
  <c r="N51" s="1"/>
  <c r="N54" s="1"/>
  <c r="K37"/>
  <c r="AG31"/>
  <c r="Z31"/>
  <c r="Y31"/>
  <c r="X31"/>
  <c r="T31"/>
  <c r="S31"/>
  <c r="R31"/>
  <c r="Q31"/>
  <c r="O31"/>
  <c r="N31"/>
  <c r="M31"/>
  <c r="L31"/>
  <c r="J31"/>
  <c r="I31"/>
  <c r="AE29"/>
  <c r="AD29"/>
  <c r="AC29"/>
  <c r="AB29"/>
  <c r="AF29" s="1"/>
  <c r="AA29"/>
  <c r="V29"/>
  <c r="U29"/>
  <c r="P29"/>
  <c r="K29"/>
  <c r="W29" s="1"/>
  <c r="AE27"/>
  <c r="AD27"/>
  <c r="AC27"/>
  <c r="AB27"/>
  <c r="AF27" s="1"/>
  <c r="AA27"/>
  <c r="V27"/>
  <c r="U27"/>
  <c r="P27"/>
  <c r="K27"/>
  <c r="W27" s="1"/>
  <c r="AH27" s="1"/>
  <c r="AH26"/>
  <c r="AF25"/>
  <c r="AE25"/>
  <c r="AD25"/>
  <c r="AC25"/>
  <c r="AB25"/>
  <c r="AA25"/>
  <c r="U25"/>
  <c r="P25"/>
  <c r="V25" s="1"/>
  <c r="K25"/>
  <c r="AD24"/>
  <c r="AA24"/>
  <c r="AE23"/>
  <c r="AD23"/>
  <c r="AC23"/>
  <c r="AB23"/>
  <c r="AA23"/>
  <c r="U23"/>
  <c r="P23"/>
  <c r="K23"/>
  <c r="AH22"/>
  <c r="AE21"/>
  <c r="AD21"/>
  <c r="AC21"/>
  <c r="AB21"/>
  <c r="AA21"/>
  <c r="U21"/>
  <c r="P21"/>
  <c r="K21"/>
  <c r="AE20"/>
  <c r="AD20"/>
  <c r="AC20"/>
  <c r="AB20"/>
  <c r="AA20"/>
  <c r="U20"/>
  <c r="P20"/>
  <c r="K20"/>
  <c r="AE19"/>
  <c r="AD19"/>
  <c r="AC19"/>
  <c r="AB19"/>
  <c r="AA19"/>
  <c r="V19"/>
  <c r="U19"/>
  <c r="P19"/>
  <c r="K19"/>
  <c r="AE18"/>
  <c r="AD18"/>
  <c r="AC18"/>
  <c r="AA18"/>
  <c r="AA31" s="1"/>
  <c r="U18"/>
  <c r="P18"/>
  <c r="V18" s="1"/>
  <c r="H31"/>
  <c r="G31"/>
  <c r="AG2"/>
  <c r="N52" i="85"/>
  <c r="N51"/>
  <c r="K52"/>
  <c r="H51"/>
  <c r="N49" i="84"/>
  <c r="N53"/>
  <c r="K55" i="85"/>
  <c r="K53"/>
  <c r="K36"/>
  <c r="AJ27"/>
  <c r="AJ25"/>
  <c r="G18"/>
  <c r="H18"/>
  <c r="Y95" i="86" l="1"/>
  <c r="V23"/>
  <c r="W23" s="1"/>
  <c r="U31"/>
  <c r="V20"/>
  <c r="V21"/>
  <c r="W19"/>
  <c r="P31"/>
  <c r="AE31"/>
  <c r="AF23"/>
  <c r="K45" s="1"/>
  <c r="K49" s="1"/>
  <c r="K51" s="1"/>
  <c r="AC31"/>
  <c r="AF19"/>
  <c r="AF20"/>
  <c r="AF21"/>
  <c r="AD31"/>
  <c r="W20"/>
  <c r="AH20" s="1"/>
  <c r="W21"/>
  <c r="AH21" s="1"/>
  <c r="W25"/>
  <c r="AH25" s="1"/>
  <c r="AH29"/>
  <c r="X91"/>
  <c r="X95" s="1"/>
  <c r="AB18"/>
  <c r="K18"/>
  <c r="H52" i="85"/>
  <c r="X93"/>
  <c r="Y89"/>
  <c r="W89"/>
  <c r="W85"/>
  <c r="X89" s="1"/>
  <c r="Y83"/>
  <c r="Y81"/>
  <c r="W80"/>
  <c r="AB79"/>
  <c r="AB94" s="1"/>
  <c r="Y77"/>
  <c r="W76"/>
  <c r="X81" s="1"/>
  <c r="N54"/>
  <c r="H54"/>
  <c r="N55"/>
  <c r="N56" s="1"/>
  <c r="H55"/>
  <c r="N44"/>
  <c r="H44"/>
  <c r="M40"/>
  <c r="G40"/>
  <c r="M38"/>
  <c r="G38"/>
  <c r="M37"/>
  <c r="N36" s="1"/>
  <c r="N48" s="1"/>
  <c r="N50" s="1"/>
  <c r="N53" s="1"/>
  <c r="G37"/>
  <c r="H36"/>
  <c r="H48" s="1"/>
  <c r="H50" s="1"/>
  <c r="H53" s="1"/>
  <c r="AG31"/>
  <c r="Z31"/>
  <c r="Y31"/>
  <c r="X31"/>
  <c r="T31"/>
  <c r="S31"/>
  <c r="R31"/>
  <c r="Q31"/>
  <c r="O31"/>
  <c r="N31"/>
  <c r="M31"/>
  <c r="L31"/>
  <c r="J31"/>
  <c r="I31"/>
  <c r="H31"/>
  <c r="G31"/>
  <c r="AE29"/>
  <c r="AD29"/>
  <c r="AC29"/>
  <c r="AB29"/>
  <c r="AF29" s="1"/>
  <c r="AA29"/>
  <c r="U29"/>
  <c r="V29" s="1"/>
  <c r="P29"/>
  <c r="K29"/>
  <c r="W29" s="1"/>
  <c r="AH29" s="1"/>
  <c r="AE27"/>
  <c r="AD27"/>
  <c r="AC27"/>
  <c r="AB27"/>
  <c r="AF27" s="1"/>
  <c r="AA27"/>
  <c r="U27"/>
  <c r="V27" s="1"/>
  <c r="P27"/>
  <c r="K27"/>
  <c r="W27" s="1"/>
  <c r="AH27" s="1"/>
  <c r="AH26"/>
  <c r="AE25"/>
  <c r="AE31" s="1"/>
  <c r="AD25"/>
  <c r="AC25"/>
  <c r="AB25"/>
  <c r="AF25" s="1"/>
  <c r="AA25"/>
  <c r="AA31" s="1"/>
  <c r="U25"/>
  <c r="P25"/>
  <c r="V25" s="1"/>
  <c r="K25"/>
  <c r="W25" s="1"/>
  <c r="AH25" s="1"/>
  <c r="AD24"/>
  <c r="AA24"/>
  <c r="AE23"/>
  <c r="AD23"/>
  <c r="AC23"/>
  <c r="AB23"/>
  <c r="AF23" s="1"/>
  <c r="K44" s="1"/>
  <c r="AA23"/>
  <c r="V23"/>
  <c r="U23"/>
  <c r="P23"/>
  <c r="K23"/>
  <c r="W23" s="1"/>
  <c r="AH22"/>
  <c r="AE21"/>
  <c r="AD21"/>
  <c r="AC21"/>
  <c r="AB21"/>
  <c r="AF21" s="1"/>
  <c r="AA21"/>
  <c r="U21"/>
  <c r="V21" s="1"/>
  <c r="P21"/>
  <c r="K21"/>
  <c r="AE20"/>
  <c r="AD20"/>
  <c r="AC20"/>
  <c r="AB20"/>
  <c r="AF20" s="1"/>
  <c r="AA20"/>
  <c r="U20"/>
  <c r="V20" s="1"/>
  <c r="P20"/>
  <c r="K20"/>
  <c r="AE19"/>
  <c r="AD19"/>
  <c r="AC19"/>
  <c r="AB19"/>
  <c r="AF19" s="1"/>
  <c r="AA19"/>
  <c r="U19"/>
  <c r="V19" s="1"/>
  <c r="P19"/>
  <c r="K19"/>
  <c r="AE18"/>
  <c r="AD18"/>
  <c r="AD31" s="1"/>
  <c r="AC18"/>
  <c r="AC31" s="1"/>
  <c r="AB18"/>
  <c r="AB31" s="1"/>
  <c r="AA18"/>
  <c r="U18"/>
  <c r="V18" s="1"/>
  <c r="V31" s="1"/>
  <c r="P18"/>
  <c r="P31" s="1"/>
  <c r="K18"/>
  <c r="K31" s="1"/>
  <c r="AG2"/>
  <c r="N52" i="84"/>
  <c r="N50"/>
  <c r="O18"/>
  <c r="AB92"/>
  <c r="X91"/>
  <c r="Y87"/>
  <c r="W87"/>
  <c r="W83"/>
  <c r="X87" s="1"/>
  <c r="Y81"/>
  <c r="Y79"/>
  <c r="W78"/>
  <c r="Y75"/>
  <c r="W74"/>
  <c r="X79" s="1"/>
  <c r="X88" s="1"/>
  <c r="X92" s="1"/>
  <c r="K52" s="1"/>
  <c r="H53"/>
  <c r="H52"/>
  <c r="H54" s="1"/>
  <c r="N54"/>
  <c r="N42"/>
  <c r="M40"/>
  <c r="M38"/>
  <c r="G38"/>
  <c r="H36" s="1"/>
  <c r="H46" s="1"/>
  <c r="H48" s="1"/>
  <c r="H51" s="1"/>
  <c r="M37"/>
  <c r="G37"/>
  <c r="N36"/>
  <c r="N46" s="1"/>
  <c r="N48" s="1"/>
  <c r="N51" s="1"/>
  <c r="K36"/>
  <c r="K46" s="1"/>
  <c r="K48" s="1"/>
  <c r="AG31"/>
  <c r="Z31"/>
  <c r="Y31"/>
  <c r="X31"/>
  <c r="T31"/>
  <c r="S31"/>
  <c r="R31"/>
  <c r="Q31"/>
  <c r="O31"/>
  <c r="N31"/>
  <c r="M31"/>
  <c r="L31"/>
  <c r="J31"/>
  <c r="I31"/>
  <c r="H31"/>
  <c r="G31"/>
  <c r="AE29"/>
  <c r="AD29"/>
  <c r="AC29"/>
  <c r="AB29"/>
  <c r="AF29" s="1"/>
  <c r="AA29"/>
  <c r="U29"/>
  <c r="P29"/>
  <c r="V29" s="1"/>
  <c r="K29"/>
  <c r="W29" s="1"/>
  <c r="AH29" s="1"/>
  <c r="AE27"/>
  <c r="AD27"/>
  <c r="AC27"/>
  <c r="AB27"/>
  <c r="AF27" s="1"/>
  <c r="AA27"/>
  <c r="U27"/>
  <c r="P27"/>
  <c r="V27" s="1"/>
  <c r="K27"/>
  <c r="W27" s="1"/>
  <c r="AH27" s="1"/>
  <c r="AH26"/>
  <c r="AE25"/>
  <c r="AD25"/>
  <c r="AC25"/>
  <c r="AB25"/>
  <c r="AF25" s="1"/>
  <c r="AA25"/>
  <c r="U25"/>
  <c r="V25" s="1"/>
  <c r="P25"/>
  <c r="K25"/>
  <c r="W25" s="1"/>
  <c r="AH25" s="1"/>
  <c r="AD24"/>
  <c r="AA24"/>
  <c r="AE23"/>
  <c r="AD23"/>
  <c r="AC23"/>
  <c r="AB23"/>
  <c r="AF23" s="1"/>
  <c r="K42" s="1"/>
  <c r="AA23"/>
  <c r="U23"/>
  <c r="P23"/>
  <c r="V23" s="1"/>
  <c r="K23"/>
  <c r="AH22"/>
  <c r="AE21"/>
  <c r="AD21"/>
  <c r="AC21"/>
  <c r="AB21"/>
  <c r="AF21" s="1"/>
  <c r="AA21"/>
  <c r="U21"/>
  <c r="P21"/>
  <c r="V21" s="1"/>
  <c r="K21"/>
  <c r="W21" s="1"/>
  <c r="AH21" s="1"/>
  <c r="AE20"/>
  <c r="AD20"/>
  <c r="AC20"/>
  <c r="AB20"/>
  <c r="AF20" s="1"/>
  <c r="AA20"/>
  <c r="U20"/>
  <c r="P20"/>
  <c r="V20" s="1"/>
  <c r="K20"/>
  <c r="W20" s="1"/>
  <c r="AH20" s="1"/>
  <c r="AE19"/>
  <c r="AD19"/>
  <c r="AC19"/>
  <c r="AB19"/>
  <c r="AF19" s="1"/>
  <c r="AA19"/>
  <c r="V19"/>
  <c r="U19"/>
  <c r="P19"/>
  <c r="K19"/>
  <c r="W19" s="1"/>
  <c r="AE18"/>
  <c r="AE31" s="1"/>
  <c r="AD18"/>
  <c r="AD31" s="1"/>
  <c r="AC18"/>
  <c r="AC31" s="1"/>
  <c r="AB18"/>
  <c r="AB31" s="1"/>
  <c r="AA18"/>
  <c r="AA31" s="1"/>
  <c r="U18"/>
  <c r="U31" s="1"/>
  <c r="P18"/>
  <c r="P31" s="1"/>
  <c r="K18"/>
  <c r="AG2"/>
  <c r="K54" i="79"/>
  <c r="K51"/>
  <c r="V31" i="86" l="1"/>
  <c r="AH19"/>
  <c r="AH23"/>
  <c r="AB31"/>
  <c r="AF18"/>
  <c r="K31"/>
  <c r="W18"/>
  <c r="H56" i="85"/>
  <c r="K48"/>
  <c r="K50" s="1"/>
  <c r="W19"/>
  <c r="AH19" s="1"/>
  <c r="W20"/>
  <c r="AH20" s="1"/>
  <c r="W21"/>
  <c r="AH21" s="1"/>
  <c r="X90"/>
  <c r="X94" s="1"/>
  <c r="AH23"/>
  <c r="W18"/>
  <c r="AF18"/>
  <c r="U31"/>
  <c r="Y76"/>
  <c r="Y94" s="1"/>
  <c r="AB96" s="1"/>
  <c r="Y85"/>
  <c r="V18" i="84"/>
  <c r="W18" s="1"/>
  <c r="AH18" s="1"/>
  <c r="AH31" s="1"/>
  <c r="AH19"/>
  <c r="W23"/>
  <c r="AH23" s="1"/>
  <c r="AF18"/>
  <c r="AJ19" s="1"/>
  <c r="AJ23" s="1"/>
  <c r="K31"/>
  <c r="Y74"/>
  <c r="Y92" s="1"/>
  <c r="AB94" s="1"/>
  <c r="Y83"/>
  <c r="N52" i="79"/>
  <c r="H54"/>
  <c r="N53"/>
  <c r="H53"/>
  <c r="N54"/>
  <c r="AH18" i="86" l="1"/>
  <c r="AH31" s="1"/>
  <c r="W31"/>
  <c r="AF31"/>
  <c r="K53" s="1"/>
  <c r="AF31" i="85"/>
  <c r="AJ19"/>
  <c r="AJ23" s="1"/>
  <c r="AH18"/>
  <c r="AH31" s="1"/>
  <c r="W31"/>
  <c r="V31" i="84"/>
  <c r="AF31"/>
  <c r="K50" s="1"/>
  <c r="W31"/>
  <c r="K56" i="86" l="1"/>
  <c r="K57" s="1"/>
  <c r="K54"/>
  <c r="AJ27"/>
  <c r="AJ25"/>
  <c r="K56" i="85"/>
  <c r="K53" i="84"/>
  <c r="K54" s="1"/>
  <c r="K51"/>
  <c r="H53" i="81"/>
  <c r="H54" s="1"/>
  <c r="N52"/>
  <c r="Y79"/>
  <c r="Y75"/>
  <c r="Y81"/>
  <c r="W78"/>
  <c r="Y77" i="79"/>
  <c r="W76"/>
  <c r="N50" i="81" l="1"/>
  <c r="N53" s="1"/>
  <c r="N54" s="1"/>
  <c r="N42"/>
  <c r="M38"/>
  <c r="M37"/>
  <c r="K36"/>
  <c r="G18"/>
  <c r="G31" s="1"/>
  <c r="H36"/>
  <c r="G37"/>
  <c r="AB92"/>
  <c r="X91"/>
  <c r="W87"/>
  <c r="Y87" s="1"/>
  <c r="W83"/>
  <c r="W74"/>
  <c r="Y74" s="1"/>
  <c r="H46"/>
  <c r="H48" s="1"/>
  <c r="H51" s="1"/>
  <c r="AG31"/>
  <c r="Z31"/>
  <c r="Y31"/>
  <c r="X31"/>
  <c r="T31"/>
  <c r="S31"/>
  <c r="R31"/>
  <c r="Q31"/>
  <c r="O31"/>
  <c r="N31"/>
  <c r="L31"/>
  <c r="J31"/>
  <c r="I31"/>
  <c r="H31"/>
  <c r="AE29"/>
  <c r="AD29"/>
  <c r="AC29"/>
  <c r="AB29"/>
  <c r="AA29"/>
  <c r="U29"/>
  <c r="P29"/>
  <c r="K29"/>
  <c r="AE27"/>
  <c r="AD27"/>
  <c r="AC27"/>
  <c r="AB27"/>
  <c r="AA27"/>
  <c r="U27"/>
  <c r="P27"/>
  <c r="K27"/>
  <c r="AH26"/>
  <c r="AE25"/>
  <c r="AD25"/>
  <c r="AC25"/>
  <c r="AB25"/>
  <c r="AF25" s="1"/>
  <c r="AA25"/>
  <c r="U25"/>
  <c r="P25"/>
  <c r="K25"/>
  <c r="AD24"/>
  <c r="AA24"/>
  <c r="AE23"/>
  <c r="AD23"/>
  <c r="AC23"/>
  <c r="AB23"/>
  <c r="AA23"/>
  <c r="U23"/>
  <c r="P23"/>
  <c r="K23"/>
  <c r="AH22"/>
  <c r="AE21"/>
  <c r="AD21"/>
  <c r="AC21"/>
  <c r="AB21"/>
  <c r="AA21"/>
  <c r="U21"/>
  <c r="P21"/>
  <c r="K21"/>
  <c r="AE20"/>
  <c r="AD20"/>
  <c r="AC20"/>
  <c r="AB20"/>
  <c r="AA20"/>
  <c r="U20"/>
  <c r="P20"/>
  <c r="K20"/>
  <c r="AE19"/>
  <c r="AD19"/>
  <c r="AC19"/>
  <c r="AB19"/>
  <c r="AA19"/>
  <c r="U19"/>
  <c r="P19"/>
  <c r="K19"/>
  <c r="AE18"/>
  <c r="AD18"/>
  <c r="AC18"/>
  <c r="AA18"/>
  <c r="U18"/>
  <c r="P18"/>
  <c r="AG2"/>
  <c r="O18" i="79"/>
  <c r="O9" s="1"/>
  <c r="M18"/>
  <c r="AB90"/>
  <c r="X89"/>
  <c r="W85"/>
  <c r="Y85" s="1"/>
  <c r="W81"/>
  <c r="Y79"/>
  <c r="Y73"/>
  <c r="W73"/>
  <c r="X77" s="1"/>
  <c r="M40"/>
  <c r="M38"/>
  <c r="M37"/>
  <c r="N36" s="1"/>
  <c r="J37"/>
  <c r="K36" s="1"/>
  <c r="AC36"/>
  <c r="X36"/>
  <c r="X37" s="1"/>
  <c r="H36"/>
  <c r="H46" s="1"/>
  <c r="H48" s="1"/>
  <c r="H51" s="1"/>
  <c r="AG31"/>
  <c r="Z31"/>
  <c r="Y31"/>
  <c r="X31"/>
  <c r="T31"/>
  <c r="S31"/>
  <c r="R31"/>
  <c r="Q31"/>
  <c r="O31"/>
  <c r="N31"/>
  <c r="M31"/>
  <c r="L31"/>
  <c r="J31"/>
  <c r="I31"/>
  <c r="H31"/>
  <c r="G31"/>
  <c r="AE29"/>
  <c r="AD29"/>
  <c r="AC29"/>
  <c r="AB29"/>
  <c r="AA29"/>
  <c r="U29"/>
  <c r="P29"/>
  <c r="V29" s="1"/>
  <c r="K29"/>
  <c r="AE27"/>
  <c r="AD27"/>
  <c r="AC27"/>
  <c r="AB27"/>
  <c r="AA27"/>
  <c r="U27"/>
  <c r="P27"/>
  <c r="V27" s="1"/>
  <c r="K27"/>
  <c r="AH26"/>
  <c r="AE25"/>
  <c r="AD25"/>
  <c r="AC25"/>
  <c r="AB25"/>
  <c r="AA25"/>
  <c r="U25"/>
  <c r="V25" s="1"/>
  <c r="P25"/>
  <c r="K25"/>
  <c r="AD24"/>
  <c r="AA24"/>
  <c r="AE23"/>
  <c r="AD23"/>
  <c r="AC23"/>
  <c r="AB23"/>
  <c r="AF23" s="1"/>
  <c r="K42" s="1"/>
  <c r="N42" s="1"/>
  <c r="AA23"/>
  <c r="U23"/>
  <c r="P23"/>
  <c r="K23"/>
  <c r="AH22"/>
  <c r="AE21"/>
  <c r="AD21"/>
  <c r="AC21"/>
  <c r="AB21"/>
  <c r="AA21"/>
  <c r="U21"/>
  <c r="P21"/>
  <c r="V21" s="1"/>
  <c r="K21"/>
  <c r="AE20"/>
  <c r="AD20"/>
  <c r="AC20"/>
  <c r="AB20"/>
  <c r="AA20"/>
  <c r="U20"/>
  <c r="P20"/>
  <c r="K20"/>
  <c r="AE19"/>
  <c r="AD19"/>
  <c r="AC19"/>
  <c r="AB19"/>
  <c r="AA19"/>
  <c r="U19"/>
  <c r="P19"/>
  <c r="V19" s="1"/>
  <c r="K19"/>
  <c r="AD18"/>
  <c r="AD31" s="1"/>
  <c r="AC18"/>
  <c r="AB18"/>
  <c r="AA18"/>
  <c r="U18"/>
  <c r="U31" s="1"/>
  <c r="P18"/>
  <c r="K18"/>
  <c r="AG2"/>
  <c r="V18" l="1"/>
  <c r="W18" s="1"/>
  <c r="AC31"/>
  <c r="AF19"/>
  <c r="AF20"/>
  <c r="AF21"/>
  <c r="W27"/>
  <c r="AH27" s="1"/>
  <c r="AF27"/>
  <c r="W29"/>
  <c r="AF29"/>
  <c r="X85"/>
  <c r="X86" s="1"/>
  <c r="X90" s="1"/>
  <c r="AA35" s="1"/>
  <c r="AC35" s="1"/>
  <c r="AC37" s="1"/>
  <c r="K31"/>
  <c r="AB31"/>
  <c r="W19"/>
  <c r="AH19" s="1"/>
  <c r="AF25"/>
  <c r="K46"/>
  <c r="K48" s="1"/>
  <c r="AA31"/>
  <c r="AE18"/>
  <c r="AE31" s="1"/>
  <c r="V23"/>
  <c r="W21"/>
  <c r="W25"/>
  <c r="K18" i="81"/>
  <c r="AB18"/>
  <c r="AF18" s="1"/>
  <c r="AF20"/>
  <c r="AF21"/>
  <c r="V25"/>
  <c r="X79"/>
  <c r="X88" s="1"/>
  <c r="X92" s="1"/>
  <c r="Y83"/>
  <c r="Y92" s="1"/>
  <c r="AB94" s="1"/>
  <c r="X87"/>
  <c r="AA31"/>
  <c r="W25"/>
  <c r="AH25" s="1"/>
  <c r="AD31"/>
  <c r="V27"/>
  <c r="W27" s="1"/>
  <c r="AH27" s="1"/>
  <c r="V29"/>
  <c r="V19"/>
  <c r="W19" s="1"/>
  <c r="V20"/>
  <c r="V21"/>
  <c r="W21" s="1"/>
  <c r="AH21" s="1"/>
  <c r="AF27"/>
  <c r="AF29"/>
  <c r="W20"/>
  <c r="AH20" s="1"/>
  <c r="V23"/>
  <c r="AE31"/>
  <c r="W23"/>
  <c r="U31"/>
  <c r="AC31"/>
  <c r="AF19"/>
  <c r="AF23"/>
  <c r="K42" s="1"/>
  <c r="K46" s="1"/>
  <c r="K48" s="1"/>
  <c r="N36"/>
  <c r="N46" s="1"/>
  <c r="N48" s="1"/>
  <c r="N51" s="1"/>
  <c r="P31"/>
  <c r="V18"/>
  <c r="W29"/>
  <c r="W18"/>
  <c r="M31"/>
  <c r="K31"/>
  <c r="N46" i="79"/>
  <c r="N48" s="1"/>
  <c r="N51" s="1"/>
  <c r="P31"/>
  <c r="W23"/>
  <c r="AH23" s="1"/>
  <c r="V20"/>
  <c r="W20" s="1"/>
  <c r="AH20" s="1"/>
  <c r="Y81"/>
  <c r="Y90" s="1"/>
  <c r="AB92" s="1"/>
  <c r="AF18" l="1"/>
  <c r="AH21"/>
  <c r="AH25"/>
  <c r="AH29"/>
  <c r="AB31" i="81"/>
  <c r="AH29"/>
  <c r="K52"/>
  <c r="V31"/>
  <c r="AH19"/>
  <c r="AH23"/>
  <c r="AH18"/>
  <c r="W31"/>
  <c r="AJ19"/>
  <c r="AF31"/>
  <c r="K50" s="1"/>
  <c r="AF31" i="79"/>
  <c r="K50" s="1"/>
  <c r="K53" s="1"/>
  <c r="AJ19"/>
  <c r="W31"/>
  <c r="AH18"/>
  <c r="V31"/>
  <c r="AH31" l="1"/>
  <c r="AH31" i="81"/>
  <c r="K53"/>
  <c r="K54" s="1"/>
  <c r="K51"/>
  <c r="AA36" i="79"/>
  <c r="AA37" s="1"/>
</calcChain>
</file>

<file path=xl/sharedStrings.xml><?xml version="1.0" encoding="utf-8"?>
<sst xmlns="http://schemas.openxmlformats.org/spreadsheetml/2006/main" count="1948" uniqueCount="258">
  <si>
    <t>Department</t>
  </si>
  <si>
    <t>Agency</t>
  </si>
  <si>
    <t>Operating Unit</t>
  </si>
  <si>
    <t>Organizational Code (UACS)</t>
  </si>
  <si>
    <t>PS</t>
  </si>
  <si>
    <t>MOOE</t>
  </si>
  <si>
    <t xml:space="preserve">Fin. Exp </t>
  </si>
  <si>
    <t>CO</t>
  </si>
  <si>
    <t>Total</t>
  </si>
  <si>
    <t>CURRENT YEAR BUDGET</t>
  </si>
  <si>
    <t>PRIOR YEAR'S ACCOUNTS PAYABLE</t>
  </si>
  <si>
    <t>Sub-Total</t>
  </si>
  <si>
    <t>CURRENT YEAR ACCOUNTS PAYABLE</t>
  </si>
  <si>
    <t>TOTAL</t>
  </si>
  <si>
    <t>SUB-</t>
  </si>
  <si>
    <t>PRIOR YEAR'S BUDGET</t>
  </si>
  <si>
    <t>TRUST LIABILITTIES</t>
  </si>
  <si>
    <t>GRAND TOTAL</t>
  </si>
  <si>
    <t>Remarks</t>
  </si>
  <si>
    <t>PARTICULARS</t>
  </si>
  <si>
    <t>6= (2+3+4+5)</t>
  </si>
  <si>
    <t>16=(12+13+14+15)</t>
  </si>
  <si>
    <t>17=(11+16)</t>
  </si>
  <si>
    <t>18=(6+17)</t>
  </si>
  <si>
    <t>22=(19+20+21)</t>
  </si>
  <si>
    <t>27=(23+24+25+26)</t>
  </si>
  <si>
    <t>MDS Checks Issued</t>
  </si>
  <si>
    <t>Advice to Debit Account</t>
  </si>
  <si>
    <t>Working Fund (NCA issued to BTR)</t>
  </si>
  <si>
    <t>Tax Remittance Advices Issued (TRA)</t>
  </si>
  <si>
    <t>Cash Disbursement Ceiling (CDC)</t>
  </si>
  <si>
    <t>Non-Cash Availment Authority (NCAA)</t>
  </si>
  <si>
    <t>Others (CDT, BTr Docs Stamps, etc)</t>
  </si>
  <si>
    <t>SUMMARY:</t>
  </si>
  <si>
    <t>Total Disbursement Authorities Received:</t>
  </si>
  <si>
    <t>Working fund</t>
  </si>
  <si>
    <t>TRA</t>
  </si>
  <si>
    <t>CDC</t>
  </si>
  <si>
    <t>NCAA</t>
  </si>
  <si>
    <t>Others (CDT, BTr docs Stamp, etc.)</t>
  </si>
  <si>
    <t>Less: Notice of Transfer allocation (NTA) issued</t>
  </si>
  <si>
    <t>Total Disbursement Authorities Available:</t>
  </si>
  <si>
    <t>Note: The use of NTA is Discouraged</t>
  </si>
  <si>
    <t>(Over)/Under Spending</t>
  </si>
  <si>
    <t>Certified Correct:</t>
  </si>
  <si>
    <t>Date:</t>
  </si>
  <si>
    <t>Agency Chief Accountant</t>
  </si>
  <si>
    <t>Approved By:</t>
  </si>
  <si>
    <t>Head of Agency or Authorized Representative</t>
  </si>
  <si>
    <t>LOLITA R. VERDADERO</t>
  </si>
  <si>
    <t>MONTHLY REPORT OF DISBURSEMENTS</t>
  </si>
  <si>
    <t>FAR No. 4</t>
  </si>
  <si>
    <t>:</t>
  </si>
  <si>
    <t>Funding Sources Code (as clustered) :</t>
  </si>
  <si>
    <t>11= (7+8+9+10)</t>
  </si>
  <si>
    <t>Office of the Secretary</t>
  </si>
  <si>
    <t>Less:</t>
  </si>
  <si>
    <t xml:space="preserve">     Total</t>
  </si>
  <si>
    <t>Department of Finance (DOF)</t>
  </si>
  <si>
    <t xml:space="preserve">  11</t>
  </si>
  <si>
    <t xml:space="preserve">Total </t>
  </si>
  <si>
    <t>Balance of Disbursement Authorities  as of to date</t>
  </si>
  <si>
    <t xml:space="preserve">  GENERAL FUND</t>
  </si>
  <si>
    <t>RLIP</t>
  </si>
  <si>
    <t xml:space="preserve">        by Budget Division, as follows:</t>
  </si>
  <si>
    <t>01101101</t>
  </si>
  <si>
    <t>Previous Report</t>
  </si>
  <si>
    <t>This month (January)</t>
  </si>
  <si>
    <t xml:space="preserve">Previous Report </t>
  </si>
  <si>
    <t xml:space="preserve">Lapsed NCA </t>
  </si>
  <si>
    <t xml:space="preserve">Notice of Cash Allocation (NCA) </t>
  </si>
  <si>
    <t>Undersecretary</t>
  </si>
  <si>
    <t>GIL S. BELTRAN</t>
  </si>
  <si>
    <t>* NCA deposited to MDS 2177-90002-1 for regular transactions</t>
  </si>
  <si>
    <t>Total Disbursement Program  (including TRA)</t>
  </si>
  <si>
    <t>Disbursements (MDS Checks/ADA/TRA)*</t>
  </si>
  <si>
    <t>Disb per FS</t>
  </si>
  <si>
    <t>As of 01/31/2017</t>
  </si>
  <si>
    <t xml:space="preserve">*** Based on Approved FY 2017 Monthly Disbursement Program (BED No. 3) </t>
  </si>
  <si>
    <t>New GAA, Comprehensive Release, JANUARY 2017</t>
  </si>
  <si>
    <t>NGA-SBNGA</t>
  </si>
  <si>
    <t>For Later Release:</t>
  </si>
  <si>
    <t xml:space="preserve">Part A    FY Budget </t>
  </si>
  <si>
    <t>Current Yr</t>
  </si>
  <si>
    <t>Part B Prior Year</t>
  </si>
  <si>
    <t>Not Yet Due &amp; Demandable</t>
  </si>
  <si>
    <t xml:space="preserve">      Total NCA  Program, January  2017</t>
  </si>
  <si>
    <t>Tax Remittance Advice</t>
  </si>
  <si>
    <t>Total Disbursement Program</t>
  </si>
  <si>
    <t xml:space="preserve"> Pension&amp;Grat -</t>
  </si>
  <si>
    <t xml:space="preserve"> SBNGA -</t>
  </si>
  <si>
    <t>AApprop-RLIP -</t>
  </si>
  <si>
    <t>E Govt Fund -</t>
  </si>
  <si>
    <t>Accts Pay-SBNGA -</t>
  </si>
  <si>
    <t>Total NCA January 2017</t>
  </si>
  <si>
    <t>MDS 5-6</t>
  </si>
  <si>
    <t>NCA A-17-1748   1/30/2017</t>
  </si>
  <si>
    <t xml:space="preserve">      NCA-BMB-A-17-000599 dtd 1/06/2017 ( Reg Operations)</t>
  </si>
  <si>
    <t>TLB</t>
  </si>
  <si>
    <t xml:space="preserve">Less: Actual Disbursements  </t>
  </si>
  <si>
    <t xml:space="preserve">      NCA-BMB-A-17-000599 dtd 1/06/2017 ( RLIP)</t>
  </si>
  <si>
    <t>As of 1/31/2017</t>
  </si>
  <si>
    <t>and deposited to MDS 2177-9075-6 for TLB</t>
  </si>
  <si>
    <t>NCA (MDS 2177-90002-1)</t>
  </si>
  <si>
    <t>NCA (MDS 2177-90075-6)</t>
  </si>
  <si>
    <t xml:space="preserve">      NCA-BMB-A-17-001748 dtd 1/30/2017 ( TLB)</t>
  </si>
  <si>
    <t>MDS 2-1 Jan NCA</t>
  </si>
  <si>
    <t>NCA A-17-599  1/06/2017</t>
  </si>
  <si>
    <t>Total NCA for January (MDS 2-1, 5-6)</t>
  </si>
  <si>
    <t xml:space="preserve">Month of FEBRUARY 2017 </t>
  </si>
  <si>
    <t>Previous Report as of 1/31/2017</t>
  </si>
  <si>
    <t>This month (February)</t>
  </si>
  <si>
    <t>Regular Agency Fund</t>
  </si>
  <si>
    <t>As of 2/28/2017</t>
  </si>
  <si>
    <t>New GAA, Comprehensive Release, FEBRUARY 2017</t>
  </si>
  <si>
    <t>MDS 2-1 Feb NCA</t>
  </si>
  <si>
    <t>Fund ?</t>
  </si>
  <si>
    <t>No Feb 2017</t>
  </si>
  <si>
    <t>Total NCA February 2017</t>
  </si>
  <si>
    <t>Total NCA for February (MDS 2-1, 5-6)</t>
  </si>
  <si>
    <t xml:space="preserve">Month of MARCH 2017 </t>
  </si>
  <si>
    <t>Previous Report as of 2/28/2017</t>
  </si>
  <si>
    <t>This month (March)</t>
  </si>
  <si>
    <t>As of 3/31/2017</t>
  </si>
  <si>
    <t>New GAA, Comprehensive Release, MARCH 2017</t>
  </si>
  <si>
    <t>Total NCA March 2017</t>
  </si>
  <si>
    <t>Total NCA for March (MDS 2-1, 5-6)</t>
  </si>
  <si>
    <t>MDS 2-1 Mar NCA</t>
  </si>
  <si>
    <t xml:space="preserve">Month of APRIL 2017 </t>
  </si>
  <si>
    <t xml:space="preserve">      NCA-BMB-A-17-005117 dtd 4/05/2017 ( TLB)</t>
  </si>
  <si>
    <t xml:space="preserve">      NCA-BMB-A-17-005457 dtd 4/11/2017 ( TLB)</t>
  </si>
  <si>
    <t>New GAA, Comprehensive Release, APRIL 2017</t>
  </si>
  <si>
    <t>MDS 2-1 APRIL NCA</t>
  </si>
  <si>
    <t>Total NCA April 2017</t>
  </si>
  <si>
    <t>Apr 2017</t>
  </si>
  <si>
    <t>Total NCA for April (MDS 2-1, 5-6)</t>
  </si>
  <si>
    <t xml:space="preserve">Disb </t>
  </si>
  <si>
    <t>Previous Report as of 3/31/2017 Revised per FS</t>
  </si>
  <si>
    <t>Disb</t>
  </si>
  <si>
    <t>This month (April) Revised per FS</t>
  </si>
  <si>
    <t>per FS (5-6)</t>
  </si>
  <si>
    <t>per FS (2-1)</t>
  </si>
  <si>
    <t>As of 4/30/2017 Revised</t>
  </si>
  <si>
    <t>Month of May 2017</t>
  </si>
  <si>
    <t>Previous Report as of 4/30/2017 Revised per FS</t>
  </si>
  <si>
    <t>This month (May)</t>
  </si>
  <si>
    <t xml:space="preserve">As of 5/31/2017 </t>
  </si>
  <si>
    <t>New GAA, Comprehensive Release, MAY 2017</t>
  </si>
  <si>
    <t>E Govt Fund - A/P</t>
  </si>
  <si>
    <t>MDS 2-1 MAY NCA</t>
  </si>
  <si>
    <t>Total NCA May 2017</t>
  </si>
  <si>
    <t>May 2017</t>
  </si>
  <si>
    <t>Total NCA for May (MDS 2-1, 5-6)</t>
  </si>
  <si>
    <t xml:space="preserve">Previous Report as of 5/31/2017 </t>
  </si>
  <si>
    <t>This month (June)</t>
  </si>
  <si>
    <t xml:space="preserve">      NCA-BMB-A-17-008373 dtd 6/13/2017 ( TLB)</t>
  </si>
  <si>
    <t xml:space="preserve">As of 6/30/2017 </t>
  </si>
  <si>
    <t>New GAA, Comprehensive Release, JUNE 2017</t>
  </si>
  <si>
    <t>ADB</t>
  </si>
  <si>
    <t xml:space="preserve">IFAD </t>
  </si>
  <si>
    <t>MDS 2-1 JUNE NCA</t>
  </si>
  <si>
    <t>Total NCA June 2017</t>
  </si>
  <si>
    <t>Total NCA for June (MDS 2-1, 5-6)</t>
  </si>
  <si>
    <t xml:space="preserve">Lapsed NCA  - 1st Qrt </t>
  </si>
  <si>
    <t xml:space="preserve">Lapsed NCA  - 2nd Qrt </t>
  </si>
  <si>
    <t xml:space="preserve">      Total NCA  Program, June  2017</t>
  </si>
  <si>
    <t>This month (July)</t>
  </si>
  <si>
    <t xml:space="preserve">      NCA-BMB-A-17-008994 dtd 6/21/2017 ( Reg Operations)</t>
  </si>
  <si>
    <t xml:space="preserve">      NCA-BMB-A-17-008994 dtd 6/21/2017 ( RLIP)</t>
  </si>
  <si>
    <t>New GAA, Comprehensive Release, JULY 2017</t>
  </si>
  <si>
    <t xml:space="preserve">      Total NCA  Program, July  2017</t>
  </si>
  <si>
    <t>Unobligated Allotment</t>
  </si>
  <si>
    <t>MDS 2-1 JULY NCA</t>
  </si>
  <si>
    <t>July 2017</t>
  </si>
  <si>
    <t>Total NCA July 2017</t>
  </si>
  <si>
    <t xml:space="preserve">As of 7/31/2017 </t>
  </si>
  <si>
    <t xml:space="preserve">Month of July 2017 </t>
  </si>
  <si>
    <t>This month (August)</t>
  </si>
  <si>
    <t xml:space="preserve">As of 8/31/2017 </t>
  </si>
  <si>
    <t xml:space="preserve">Month of August 2017 </t>
  </si>
  <si>
    <t>New GAA, Comprehensive Release, AUGUST 2017</t>
  </si>
  <si>
    <t xml:space="preserve">      Total NCA  Program, August  2017</t>
  </si>
  <si>
    <t>NCA A-17-8994  6/21/2017</t>
  </si>
  <si>
    <t>Total NCA Aug 2017</t>
  </si>
  <si>
    <t>Aug 2017</t>
  </si>
  <si>
    <t>MDS 2-1 AUGUST NCA</t>
  </si>
  <si>
    <t>Total NCA August 2017</t>
  </si>
  <si>
    <t>Total NCA for August (MDS 2-1, 5-6)</t>
  </si>
  <si>
    <t>Total NCA for July (MDS 2-1, 5-6)</t>
  </si>
  <si>
    <t>Previous Report as of 7/31/2017 (w/June Adj)</t>
  </si>
  <si>
    <t>Previous Report as of 6/30/2017 (Updated 9/25/2017)</t>
  </si>
  <si>
    <t>Previous Report as of 8/31/2017 (w/June Adj)</t>
  </si>
  <si>
    <t xml:space="preserve">As of 9/30/2017 </t>
  </si>
  <si>
    <t>New GAA, Comprehensive Release, SEPTEMBER 2017</t>
  </si>
  <si>
    <t xml:space="preserve">      Total NCA  Program, September 2017</t>
  </si>
  <si>
    <t>MDS 2-1 SEPTEMBER NCA</t>
  </si>
  <si>
    <t>Sep 2017</t>
  </si>
  <si>
    <t>Total NCA Sep 2017</t>
  </si>
  <si>
    <t>Total NCA September 2017</t>
  </si>
  <si>
    <t>Total NCA for September (MDS 2-1, 5-6)</t>
  </si>
  <si>
    <t xml:space="preserve">Lapsed NCA  - 3rd Qrt </t>
  </si>
  <si>
    <t>NCA</t>
  </si>
  <si>
    <t>Disbursements</t>
  </si>
  <si>
    <t>Regular Fund:  Summary as of 9/30/2017</t>
  </si>
  <si>
    <t>Unutilized  NCA</t>
  </si>
  <si>
    <t>Department of Finance (OSEC)</t>
  </si>
  <si>
    <t>Financial Report</t>
  </si>
  <si>
    <t>As of September 30, 2017</t>
  </si>
  <si>
    <t>Notice of Cash Allocation</t>
  </si>
  <si>
    <t>Disbursements (ACIC/ADA/TRA)</t>
  </si>
  <si>
    <t>Regular Agency Fund (RAF):</t>
  </si>
  <si>
    <t>MDS 2177-90002-1 and 2177-90075-6</t>
  </si>
  <si>
    <t>Lolita R. Verdadero</t>
  </si>
  <si>
    <t>Chief Accountant</t>
  </si>
  <si>
    <t>Approved by:</t>
  </si>
  <si>
    <t>Gil S. Beltran</t>
  </si>
  <si>
    <t>Head of Agency/</t>
  </si>
  <si>
    <t>Authorized Representative</t>
  </si>
  <si>
    <r>
      <t>Total Disbursement Program</t>
    </r>
    <r>
      <rPr>
        <sz val="10"/>
        <color theme="1"/>
        <rFont val="Calibri"/>
        <family val="2"/>
        <scheme val="minor"/>
      </rPr>
      <t xml:space="preserve">  (incl TRA)</t>
    </r>
  </si>
  <si>
    <t>Unutilized  NCA for Reversion</t>
  </si>
  <si>
    <t xml:space="preserve">Month of October 2017 </t>
  </si>
  <si>
    <t xml:space="preserve">As of 10/31/2017 </t>
  </si>
  <si>
    <t>New GAA, Comprehensive Release, OCTOBER 2017</t>
  </si>
  <si>
    <t>MDS 2-1 OCTOBER NCA</t>
  </si>
  <si>
    <t>Oct 2017</t>
  </si>
  <si>
    <t>Total NCA Oct 2017</t>
  </si>
  <si>
    <t>Total NCA October 2017</t>
  </si>
  <si>
    <t>Total NCA for October (MDS 2-1, 5-6)</t>
  </si>
  <si>
    <t>Regular Fund:  Summary as of 10/31/2017</t>
  </si>
  <si>
    <t>This month (September) Revised</t>
  </si>
  <si>
    <t>Previous Report as of 9/30/2017  per FS</t>
  </si>
  <si>
    <t xml:space="preserve">      NCA-BMB-A-17-0015896 dtd 10/3/2017 ( TLB)</t>
  </si>
  <si>
    <t xml:space="preserve">This month (October) Rev </t>
  </si>
  <si>
    <t xml:space="preserve">Month of November 2017 </t>
  </si>
  <si>
    <t>Previous Report as of 10/31/2017  per FS</t>
  </si>
  <si>
    <t xml:space="preserve">This month (November) </t>
  </si>
  <si>
    <t xml:space="preserve">      NCA-BMB-A-17-0017908 dtd 11/02/2017 (PBB)</t>
  </si>
  <si>
    <t xml:space="preserve">As of 11/30/2017 </t>
  </si>
  <si>
    <t>New GAA, Comprehensive Release, NOVEMBER 2017</t>
  </si>
  <si>
    <t>MDS 2-1 NOVEMBER NCA</t>
  </si>
  <si>
    <t>PBB Nov</t>
  </si>
  <si>
    <t>.</t>
  </si>
  <si>
    <t>Nov 2017</t>
  </si>
  <si>
    <t>Total NCA for November (MDS 2-1, 5-6)</t>
  </si>
  <si>
    <t>Total NCA November 2017</t>
  </si>
  <si>
    <t xml:space="preserve">Month of JANUARY 2017 </t>
  </si>
  <si>
    <t xml:space="preserve">Month of June 2017 </t>
  </si>
  <si>
    <t>Month of September 2017</t>
  </si>
  <si>
    <t xml:space="preserve">Month of December 2017 </t>
  </si>
  <si>
    <t xml:space="preserve">Previous Report as of 11/30/2017  </t>
  </si>
  <si>
    <t xml:space="preserve">This month (December) </t>
  </si>
  <si>
    <t xml:space="preserve">As of 12/31/2017 </t>
  </si>
  <si>
    <t xml:space="preserve">Lapsed NCA  - 4th Qrt </t>
  </si>
  <si>
    <t>New GAA, Comprehensive Release, DECEMBER  2017</t>
  </si>
  <si>
    <t>MDS 2-1 DECEMBER NCA</t>
  </si>
  <si>
    <t>Dec 2017</t>
  </si>
  <si>
    <t>Total NCA Dec 2017</t>
  </si>
  <si>
    <t>Total NCA for December (MDS 2-1, 5-6)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</si>
</sst>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/dd/yy;@"/>
    <numFmt numFmtId="165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9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0" xfId="0" applyBorder="1"/>
    <xf numFmtId="43" fontId="4" fillId="0" borderId="17" xfId="1" applyFont="1" applyBorder="1"/>
    <xf numFmtId="43" fontId="0" fillId="0" borderId="0" xfId="0" applyNumberFormat="1"/>
    <xf numFmtId="0" fontId="4" fillId="0" borderId="0" xfId="0" applyFont="1"/>
    <xf numFmtId="43" fontId="4" fillId="0" borderId="0" xfId="1" applyFont="1"/>
    <xf numFmtId="43" fontId="4" fillId="0" borderId="7" xfId="1" applyFont="1" applyBorder="1"/>
    <xf numFmtId="43" fontId="4" fillId="0" borderId="0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7" fillId="0" borderId="0" xfId="0" applyFont="1"/>
    <xf numFmtId="43" fontId="10" fillId="0" borderId="17" xfId="1" applyFont="1" applyBorder="1"/>
    <xf numFmtId="0" fontId="1" fillId="0" borderId="0" xfId="0" applyFont="1" applyBorder="1"/>
    <xf numFmtId="0" fontId="1" fillId="0" borderId="0" xfId="0" applyFont="1"/>
    <xf numFmtId="43" fontId="10" fillId="0" borderId="16" xfId="1" applyFont="1" applyBorder="1"/>
    <xf numFmtId="43" fontId="10" fillId="0" borderId="0" xfId="1" applyFont="1"/>
    <xf numFmtId="43" fontId="6" fillId="0" borderId="14" xfId="1" applyFont="1" applyBorder="1"/>
    <xf numFmtId="43" fontId="11" fillId="0" borderId="17" xfId="1" applyFont="1" applyBorder="1"/>
    <xf numFmtId="43" fontId="11" fillId="0" borderId="0" xfId="1" applyFont="1" applyBorder="1"/>
    <xf numFmtId="0" fontId="10" fillId="0" borderId="0" xfId="0" applyFont="1"/>
    <xf numFmtId="0" fontId="0" fillId="0" borderId="0" xfId="0" quotePrefix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43" fontId="7" fillId="0" borderId="0" xfId="1" applyFont="1" applyFill="1" applyBorder="1"/>
    <xf numFmtId="164" fontId="7" fillId="0" borderId="0" xfId="0" applyNumberFormat="1" applyFont="1"/>
    <xf numFmtId="43" fontId="6" fillId="0" borderId="14" xfId="1" applyFont="1" applyFill="1" applyBorder="1"/>
    <xf numFmtId="43" fontId="4" fillId="0" borderId="0" xfId="0" applyNumberFormat="1" applyFont="1"/>
    <xf numFmtId="43" fontId="4" fillId="0" borderId="0" xfId="1" applyFont="1" applyFill="1"/>
    <xf numFmtId="0" fontId="0" fillId="0" borderId="0" xfId="0" applyFill="1" applyBorder="1"/>
    <xf numFmtId="0" fontId="0" fillId="0" borderId="11" xfId="0" applyFill="1" applyBorder="1"/>
    <xf numFmtId="0" fontId="1" fillId="0" borderId="12" xfId="0" applyFont="1" applyBorder="1"/>
    <xf numFmtId="43" fontId="7" fillId="0" borderId="7" xfId="1" applyFont="1" applyFill="1" applyBorder="1"/>
    <xf numFmtId="0" fontId="12" fillId="0" borderId="0" xfId="0" applyFont="1"/>
    <xf numFmtId="43" fontId="7" fillId="0" borderId="0" xfId="1" applyFont="1" applyFill="1"/>
    <xf numFmtId="43" fontId="10" fillId="0" borderId="0" xfId="1" applyFont="1" applyBorder="1"/>
    <xf numFmtId="0" fontId="16" fillId="0" borderId="0" xfId="0" quotePrefix="1" applyFont="1"/>
    <xf numFmtId="43" fontId="0" fillId="0" borderId="14" xfId="0" applyNumberFormat="1" applyBorder="1"/>
    <xf numFmtId="0" fontId="14" fillId="0" borderId="0" xfId="0" applyFont="1" applyFill="1" applyBorder="1"/>
    <xf numFmtId="0" fontId="4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4" fillId="0" borderId="0" xfId="0" applyFont="1" applyFill="1"/>
    <xf numFmtId="43" fontId="4" fillId="0" borderId="0" xfId="1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43" fontId="15" fillId="0" borderId="0" xfId="0" applyNumberFormat="1" applyFont="1" applyFill="1" applyBorder="1"/>
    <xf numFmtId="43" fontId="15" fillId="0" borderId="0" xfId="1" applyFont="1" applyFill="1" applyBorder="1"/>
    <xf numFmtId="43" fontId="11" fillId="0" borderId="16" xfId="1" applyFont="1" applyBorder="1"/>
    <xf numFmtId="0" fontId="14" fillId="0" borderId="0" xfId="0" applyFont="1" applyBorder="1"/>
    <xf numFmtId="43" fontId="0" fillId="2" borderId="13" xfId="0" applyNumberFormat="1" applyFill="1" applyBorder="1"/>
    <xf numFmtId="43" fontId="0" fillId="2" borderId="12" xfId="0" applyNumberFormat="1" applyFill="1" applyBorder="1" applyAlignment="1">
      <alignment horizontal="center"/>
    </xf>
    <xf numFmtId="43" fontId="7" fillId="0" borderId="0" xfId="0" applyNumberFormat="1" applyFont="1" applyFill="1" applyBorder="1"/>
    <xf numFmtId="0" fontId="4" fillId="0" borderId="11" xfId="0" applyFont="1" applyFill="1" applyBorder="1"/>
    <xf numFmtId="0" fontId="15" fillId="0" borderId="5" xfId="0" applyFont="1" applyFill="1" applyBorder="1"/>
    <xf numFmtId="43" fontId="7" fillId="0" borderId="11" xfId="1" applyFont="1" applyFill="1" applyBorder="1"/>
    <xf numFmtId="0" fontId="4" fillId="0" borderId="5" xfId="0" applyFont="1" applyBorder="1"/>
    <xf numFmtId="43" fontId="4" fillId="0" borderId="11" xfId="0" applyNumberFormat="1" applyFont="1" applyFill="1" applyBorder="1"/>
    <xf numFmtId="43" fontId="4" fillId="0" borderId="8" xfId="0" applyNumberFormat="1" applyFont="1" applyFill="1" applyBorder="1"/>
    <xf numFmtId="0" fontId="4" fillId="0" borderId="6" xfId="0" applyFont="1" applyBorder="1"/>
    <xf numFmtId="0" fontId="4" fillId="0" borderId="7" xfId="0" applyFont="1" applyBorder="1"/>
    <xf numFmtId="43" fontId="4" fillId="0" borderId="7" xfId="0" applyNumberFormat="1" applyFont="1" applyBorder="1"/>
    <xf numFmtId="0" fontId="4" fillId="0" borderId="8" xfId="0" applyFont="1" applyBorder="1"/>
    <xf numFmtId="0" fontId="7" fillId="2" borderId="14" xfId="0" applyFont="1" applyFill="1" applyBorder="1"/>
    <xf numFmtId="43" fontId="7" fillId="2" borderId="14" xfId="0" applyNumberFormat="1" applyFont="1" applyFill="1" applyBorder="1"/>
    <xf numFmtId="0" fontId="7" fillId="2" borderId="13" xfId="0" applyFont="1" applyFill="1" applyBorder="1"/>
    <xf numFmtId="0" fontId="4" fillId="0" borderId="2" xfId="0" applyFont="1" applyBorder="1"/>
    <xf numFmtId="0" fontId="15" fillId="0" borderId="3" xfId="0" applyFont="1" applyFill="1" applyBorder="1"/>
    <xf numFmtId="0" fontId="7" fillId="0" borderId="3" xfId="0" applyFont="1" applyFill="1" applyBorder="1"/>
    <xf numFmtId="0" fontId="4" fillId="0" borderId="4" xfId="0" applyFont="1" applyFill="1" applyBorder="1"/>
    <xf numFmtId="0" fontId="15" fillId="2" borderId="1" xfId="0" applyFont="1" applyFill="1" applyBorder="1" applyAlignment="1">
      <alignment horizontal="center"/>
    </xf>
    <xf numFmtId="0" fontId="7" fillId="0" borderId="5" xfId="0" applyFont="1" applyBorder="1"/>
    <xf numFmtId="0" fontId="17" fillId="0" borderId="0" xfId="0" applyFont="1"/>
    <xf numFmtId="0" fontId="10" fillId="0" borderId="5" xfId="0" applyFont="1" applyBorder="1"/>
    <xf numFmtId="0" fontId="15" fillId="0" borderId="5" xfId="0" applyFont="1" applyBorder="1"/>
    <xf numFmtId="0" fontId="0" fillId="2" borderId="0" xfId="0" applyFill="1"/>
    <xf numFmtId="0" fontId="15" fillId="3" borderId="1" xfId="0" applyFont="1" applyFill="1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7" fillId="3" borderId="14" xfId="0" applyFont="1" applyFill="1" applyBorder="1"/>
    <xf numFmtId="0" fontId="0" fillId="3" borderId="13" xfId="0" applyFill="1" applyBorder="1"/>
    <xf numFmtId="0" fontId="17" fillId="3" borderId="14" xfId="0" applyFont="1" applyFill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43" fontId="6" fillId="2" borderId="14" xfId="1" applyFont="1" applyFill="1" applyBorder="1"/>
    <xf numFmtId="43" fontId="7" fillId="0" borderId="3" xfId="0" applyNumberFormat="1" applyFont="1" applyFill="1" applyBorder="1"/>
    <xf numFmtId="43" fontId="7" fillId="2" borderId="13" xfId="0" applyNumberFormat="1" applyFont="1" applyFill="1" applyBorder="1"/>
    <xf numFmtId="43" fontId="11" fillId="0" borderId="3" xfId="1" applyFont="1" applyBorder="1"/>
    <xf numFmtId="0" fontId="5" fillId="0" borderId="0" xfId="0" applyFont="1" applyBorder="1" applyAlignment="1">
      <alignment horizontal="right"/>
    </xf>
    <xf numFmtId="43" fontId="6" fillId="0" borderId="0" xfId="1" applyFont="1" applyBorder="1"/>
    <xf numFmtId="43" fontId="0" fillId="0" borderId="0" xfId="1" applyFont="1"/>
    <xf numFmtId="17" fontId="15" fillId="3" borderId="1" xfId="0" applyNumberFormat="1" applyFont="1" applyFill="1" applyBorder="1" applyAlignment="1">
      <alignment horizontal="center"/>
    </xf>
    <xf numFmtId="165" fontId="7" fillId="3" borderId="14" xfId="1" applyNumberFormat="1" applyFont="1" applyFill="1" applyBorder="1"/>
    <xf numFmtId="165" fontId="14" fillId="3" borderId="14" xfId="1" applyNumberFormat="1" applyFont="1" applyFill="1" applyBorder="1"/>
    <xf numFmtId="17" fontId="15" fillId="3" borderId="1" xfId="0" quotePrefix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0" fillId="2" borderId="13" xfId="1" applyFont="1" applyFill="1" applyBorder="1"/>
    <xf numFmtId="0" fontId="0" fillId="0" borderId="7" xfId="0" applyBorder="1" applyAlignment="1"/>
    <xf numFmtId="43" fontId="4" fillId="0" borderId="0" xfId="0" applyNumberFormat="1" applyFont="1" applyFill="1"/>
    <xf numFmtId="43" fontId="11" fillId="0" borderId="0" xfId="1" applyFont="1" applyFill="1" applyBorder="1"/>
    <xf numFmtId="43" fontId="10" fillId="0" borderId="0" xfId="1" applyFont="1" applyFill="1" applyBorder="1"/>
    <xf numFmtId="43" fontId="4" fillId="0" borderId="11" xfId="1" applyFont="1" applyFill="1" applyBorder="1"/>
    <xf numFmtId="0" fontId="7" fillId="0" borderId="0" xfId="0" applyFont="1" applyBorder="1"/>
    <xf numFmtId="43" fontId="4" fillId="0" borderId="11" xfId="1" applyFont="1" applyBorder="1"/>
    <xf numFmtId="43" fontId="4" fillId="0" borderId="8" xfId="1" applyFont="1" applyBorder="1"/>
    <xf numFmtId="0" fontId="10" fillId="0" borderId="0" xfId="0" applyFont="1" applyBorder="1"/>
    <xf numFmtId="43" fontId="11" fillId="0" borderId="4" xfId="1" applyFont="1" applyBorder="1"/>
    <xf numFmtId="43" fontId="11" fillId="0" borderId="11" xfId="1" applyFont="1" applyFill="1" applyBorder="1"/>
    <xf numFmtId="43" fontId="6" fillId="0" borderId="11" xfId="1" applyFont="1" applyBorder="1"/>
    <xf numFmtId="43" fontId="11" fillId="0" borderId="11" xfId="1" applyFont="1" applyBorder="1"/>
    <xf numFmtId="0" fontId="7" fillId="0" borderId="7" xfId="0" applyFont="1" applyBorder="1"/>
    <xf numFmtId="0" fontId="1" fillId="0" borderId="7" xfId="0" applyFont="1" applyBorder="1"/>
    <xf numFmtId="0" fontId="10" fillId="0" borderId="7" xfId="0" applyFont="1" applyBorder="1"/>
    <xf numFmtId="43" fontId="11" fillId="0" borderId="7" xfId="1" applyFont="1" applyBorder="1"/>
    <xf numFmtId="43" fontId="11" fillId="0" borderId="8" xfId="1" applyFont="1" applyBorder="1"/>
    <xf numFmtId="43" fontId="4" fillId="0" borderId="0" xfId="0" applyNumberFormat="1" applyFont="1" applyBorder="1"/>
    <xf numFmtId="0" fontId="9" fillId="0" borderId="0" xfId="0" applyFont="1" applyBorder="1"/>
    <xf numFmtId="0" fontId="9" fillId="0" borderId="0" xfId="0" applyFont="1"/>
    <xf numFmtId="0" fontId="0" fillId="0" borderId="8" xfId="0" applyBorder="1" applyAlignment="1">
      <alignment horizontal="center"/>
    </xf>
    <xf numFmtId="9" fontId="4" fillId="0" borderId="0" xfId="2" applyFont="1" applyBorder="1"/>
    <xf numFmtId="43" fontId="4" fillId="0" borderId="0" xfId="2" applyNumberFormat="1" applyFont="1" applyBorder="1"/>
    <xf numFmtId="43" fontId="6" fillId="0" borderId="0" xfId="1" applyFont="1" applyFill="1" applyBorder="1"/>
    <xf numFmtId="43" fontId="11" fillId="0" borderId="3" xfId="1" applyFont="1" applyFill="1" applyBorder="1"/>
    <xf numFmtId="43" fontId="4" fillId="0" borderId="10" xfId="1" applyFont="1" applyBorder="1"/>
    <xf numFmtId="43" fontId="4" fillId="0" borderId="6" xfId="1" applyFont="1" applyBorder="1"/>
    <xf numFmtId="43" fontId="4" fillId="0" borderId="9" xfId="1" applyFont="1" applyBorder="1" applyAlignment="1"/>
    <xf numFmtId="43" fontId="6" fillId="0" borderId="5" xfId="1" applyFont="1" applyBorder="1"/>
    <xf numFmtId="43" fontId="6" fillId="0" borderId="8" xfId="1" applyFont="1" applyBorder="1"/>
    <xf numFmtId="43" fontId="6" fillId="0" borderId="18" xfId="1" applyFont="1" applyBorder="1"/>
    <xf numFmtId="43" fontId="9" fillId="0" borderId="7" xfId="1" applyFont="1" applyBorder="1"/>
    <xf numFmtId="43" fontId="9" fillId="0" borderId="16" xfId="1" applyFont="1" applyBorder="1"/>
    <xf numFmtId="43" fontId="9" fillId="0" borderId="0" xfId="1" applyFont="1" applyBorder="1"/>
    <xf numFmtId="43" fontId="0" fillId="0" borderId="0" xfId="1" applyFont="1" applyBorder="1"/>
    <xf numFmtId="0" fontId="18" fillId="0" borderId="0" xfId="0" applyFont="1" applyBorder="1"/>
    <xf numFmtId="0" fontId="9" fillId="0" borderId="7" xfId="0" applyFont="1" applyBorder="1"/>
    <xf numFmtId="0" fontId="9" fillId="0" borderId="3" xfId="0" applyFont="1" applyBorder="1"/>
    <xf numFmtId="0" fontId="0" fillId="0" borderId="0" xfId="0" applyFont="1" applyBorder="1"/>
    <xf numFmtId="43" fontId="9" fillId="0" borderId="0" xfId="1" applyFont="1" applyFill="1" applyBorder="1"/>
    <xf numFmtId="43" fontId="9" fillId="0" borderId="7" xfId="0" applyNumberFormat="1" applyFont="1" applyBorder="1"/>
    <xf numFmtId="43" fontId="9" fillId="0" borderId="16" xfId="0" applyNumberFormat="1" applyFont="1" applyBorder="1"/>
    <xf numFmtId="43" fontId="18" fillId="0" borderId="0" xfId="0" applyNumberFormat="1" applyFont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3" fontId="4" fillId="2" borderId="0" xfId="1" applyFont="1" applyFill="1" applyBorder="1"/>
    <xf numFmtId="43" fontId="4" fillId="2" borderId="7" xfId="1" applyFont="1" applyFill="1" applyBorder="1"/>
    <xf numFmtId="43" fontId="4" fillId="5" borderId="7" xfId="1" applyFont="1" applyFill="1" applyBorder="1"/>
    <xf numFmtId="43" fontId="4" fillId="0" borderId="7" xfId="1" applyFont="1" applyFill="1" applyBorder="1"/>
    <xf numFmtId="43" fontId="7" fillId="2" borderId="14" xfId="1" applyFont="1" applyFill="1" applyBorder="1"/>
    <xf numFmtId="43" fontId="7" fillId="2" borderId="13" xfId="1" applyFont="1" applyFill="1" applyBorder="1"/>
    <xf numFmtId="43" fontId="4" fillId="4" borderId="0" xfId="1" applyFont="1" applyFill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43" fontId="4" fillId="0" borderId="14" xfId="0" applyNumberFormat="1" applyFont="1" applyBorder="1"/>
    <xf numFmtId="43" fontId="6" fillId="6" borderId="14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66"/>
      <color rgb="FFFFFFFF"/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workbookViewId="0"/>
  </sheetViews>
  <sheetFormatPr defaultRowHeight="15"/>
  <cols>
    <col min="1" max="1" width="1.28515625" customWidth="1"/>
    <col min="2" max="3" width="5.140625" customWidth="1"/>
    <col min="4" max="4" width="39.85546875" customWidth="1"/>
    <col min="5" max="5" width="1.28515625" customWidth="1"/>
    <col min="6" max="6" width="8.42578125" customWidth="1"/>
    <col min="7" max="7" width="12" customWidth="1"/>
    <col min="8" max="8" width="12.7109375" customWidth="1"/>
    <col min="9" max="9" width="10.140625" customWidth="1"/>
    <col min="10" max="10" width="12.5703125" customWidth="1"/>
    <col min="11" max="11" width="12.7109375" customWidth="1"/>
    <col min="12" max="12" width="12" customWidth="1"/>
    <col min="13" max="13" width="12.42578125" customWidth="1"/>
    <col min="14" max="14" width="14.5703125" customWidth="1"/>
    <col min="15" max="15" width="10.85546875" customWidth="1"/>
    <col min="16" max="16" width="11.85546875" customWidth="1"/>
    <col min="17" max="17" width="9.140625" customWidth="1"/>
    <col min="18" max="18" width="8.140625" customWidth="1"/>
    <col min="19" max="19" width="9.140625" customWidth="1"/>
    <col min="20" max="20" width="14" customWidth="1"/>
    <col min="21" max="23" width="12" customWidth="1"/>
    <col min="24" max="24" width="13" customWidth="1"/>
    <col min="25" max="26" width="12" customWidth="1"/>
    <col min="27" max="27" width="12.7109375" customWidth="1"/>
    <col min="28" max="28" width="12" customWidth="1"/>
    <col min="29" max="29" width="13.5703125" customWidth="1"/>
    <col min="30" max="30" width="8.140625" customWidth="1"/>
    <col min="31" max="32" width="12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75" t="s">
        <v>245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62</v>
      </c>
      <c r="O9" s="43">
        <f>+O18-555008.93</f>
        <v>0</v>
      </c>
    </row>
    <row r="10" spans="1:33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6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6">
      <c r="A18" s="3"/>
      <c r="B18" s="16"/>
      <c r="C18" s="16"/>
      <c r="D18" s="16" t="s">
        <v>26</v>
      </c>
      <c r="E18" s="16"/>
      <c r="F18" s="4"/>
      <c r="G18" s="32">
        <v>4847430.79</v>
      </c>
      <c r="H18" s="32">
        <v>302297.87</v>
      </c>
      <c r="I18" s="32">
        <v>0</v>
      </c>
      <c r="J18" s="32">
        <v>905980</v>
      </c>
      <c r="K18" s="32">
        <f>SUM(G18:J18)</f>
        <v>6055708.6600000001</v>
      </c>
      <c r="L18" s="42">
        <v>76879.7</v>
      </c>
      <c r="M18" s="102">
        <f>8581890.11-17400</f>
        <v>8564490.1099999994</v>
      </c>
      <c r="N18" s="32">
        <v>0</v>
      </c>
      <c r="O18" s="102">
        <f>7400658.93-6845650</f>
        <v>555008.9299999997</v>
      </c>
      <c r="P18" s="32">
        <f>SUM(L18:O18)</f>
        <v>9196378.7399999984</v>
      </c>
      <c r="Q18" s="32"/>
      <c r="R18" s="32"/>
      <c r="S18" s="32"/>
      <c r="T18" s="32"/>
      <c r="U18" s="32">
        <f>SUM(Q18:T18)</f>
        <v>0</v>
      </c>
      <c r="V18" s="32">
        <f>+P18+U18</f>
        <v>9196378.7399999984</v>
      </c>
      <c r="W18" s="32">
        <f>+K18+V18</f>
        <v>15252087.399999999</v>
      </c>
      <c r="X18" s="32"/>
      <c r="Y18" s="32"/>
      <c r="Z18" s="32"/>
      <c r="AA18" s="32">
        <f>SUM(X18:Z18)</f>
        <v>0</v>
      </c>
      <c r="AB18" s="32">
        <f>+G18+L18+Q18+X18</f>
        <v>4924310.49</v>
      </c>
      <c r="AC18" s="32">
        <f>+H18+M18+R18+Y18</f>
        <v>8866787.9799999986</v>
      </c>
      <c r="AD18" s="32">
        <f>+I18+N18+S18</f>
        <v>0</v>
      </c>
      <c r="AE18" s="32">
        <f>+J18+O18+T18+Z18</f>
        <v>1460988.9299999997</v>
      </c>
      <c r="AF18" s="32">
        <f>SUM(AB18:AE18)</f>
        <v>15252087.399999999</v>
      </c>
      <c r="AG18" s="10"/>
      <c r="AH18" s="18">
        <f>+W18+AA18-AF18</f>
        <v>0</v>
      </c>
      <c r="AJ18" s="67" t="s">
        <v>76</v>
      </c>
    </row>
    <row r="19" spans="1:36">
      <c r="A19" s="3"/>
      <c r="B19" s="16"/>
      <c r="C19" s="16"/>
      <c r="D19" s="16" t="s">
        <v>27</v>
      </c>
      <c r="E19" s="16"/>
      <c r="F19" s="4"/>
      <c r="G19" s="32">
        <v>8573694.0500000007</v>
      </c>
      <c r="H19" s="32">
        <v>539694.57999999996</v>
      </c>
      <c r="I19" s="32">
        <v>0</v>
      </c>
      <c r="J19" s="32">
        <v>0</v>
      </c>
      <c r="K19" s="32">
        <f t="shared" ref="K19:K29" si="0">SUM(G19:J19)</f>
        <v>9113388.6300000008</v>
      </c>
      <c r="L19" s="32">
        <v>1333146.6200000001</v>
      </c>
      <c r="M19" s="32">
        <v>9132892.9399999995</v>
      </c>
      <c r="N19" s="32">
        <v>0</v>
      </c>
      <c r="O19" s="32">
        <v>89196.43</v>
      </c>
      <c r="P19" s="32">
        <f t="shared" ref="P19:P29" si="1">SUM(L19:O19)</f>
        <v>10555235.989999998</v>
      </c>
      <c r="Q19" s="32"/>
      <c r="R19" s="32"/>
      <c r="S19" s="32"/>
      <c r="T19" s="32"/>
      <c r="U19" s="32">
        <f t="shared" ref="U19:U29" si="2">SUM(Q19:T19)</f>
        <v>0</v>
      </c>
      <c r="V19" s="32">
        <f t="shared" ref="V19:V29" si="3">+P19+U19</f>
        <v>10555235.989999998</v>
      </c>
      <c r="W19" s="32">
        <f t="shared" ref="W19:W29" si="4">+K19+V19</f>
        <v>19668624.619999997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9906840.6700000018</v>
      </c>
      <c r="AC19" s="32">
        <f t="shared" si="6"/>
        <v>9672587.5199999996</v>
      </c>
      <c r="AD19" s="32">
        <f t="shared" ref="AD19:AD29" si="7">+I19+N19+S19</f>
        <v>0</v>
      </c>
      <c r="AE19" s="32">
        <f t="shared" ref="AE19:AE29" si="8">+J19+O19+T19+Z19</f>
        <v>89196.43</v>
      </c>
      <c r="AF19" s="32">
        <f t="shared" ref="AF19:AF29" si="9">SUM(AB19:AE19)</f>
        <v>19668624.620000001</v>
      </c>
      <c r="AG19" s="10"/>
      <c r="AH19" s="18">
        <f t="shared" ref="AH19:AH29" si="10">+W19+AA19-AF19</f>
        <v>0</v>
      </c>
      <c r="AJ19" s="66">
        <f>+AF18+AF19</f>
        <v>34920712.019999996</v>
      </c>
    </row>
    <row r="20" spans="1:36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6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</row>
    <row r="22" spans="1:36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6">
      <c r="A23" s="3"/>
      <c r="B23" s="45" t="s">
        <v>29</v>
      </c>
      <c r="C23" s="45"/>
      <c r="D23" s="45"/>
      <c r="E23" s="45"/>
      <c r="F23" s="46"/>
      <c r="G23" s="42">
        <v>2525624.2799999998</v>
      </c>
      <c r="H23" s="42">
        <v>9955.2999999999993</v>
      </c>
      <c r="I23" s="42">
        <v>0</v>
      </c>
      <c r="J23" s="42">
        <v>0</v>
      </c>
      <c r="K23" s="42">
        <f t="shared" si="0"/>
        <v>2535579.5799999996</v>
      </c>
      <c r="L23" s="42">
        <v>363133.04</v>
      </c>
      <c r="M23" s="42">
        <v>3594382.28</v>
      </c>
      <c r="N23" s="42">
        <v>0</v>
      </c>
      <c r="O23" s="42">
        <v>21723.1</v>
      </c>
      <c r="P23" s="42">
        <f t="shared" si="1"/>
        <v>3979238.42</v>
      </c>
      <c r="Q23" s="42"/>
      <c r="R23" s="42"/>
      <c r="S23" s="42"/>
      <c r="T23" s="42"/>
      <c r="U23" s="42">
        <f t="shared" si="2"/>
        <v>0</v>
      </c>
      <c r="V23" s="42">
        <f t="shared" si="3"/>
        <v>3979238.42</v>
      </c>
      <c r="W23" s="42">
        <f t="shared" si="4"/>
        <v>6514818</v>
      </c>
      <c r="X23" s="42"/>
      <c r="Y23" s="42"/>
      <c r="Z23" s="42"/>
      <c r="AA23" s="42">
        <f t="shared" si="5"/>
        <v>0</v>
      </c>
      <c r="AB23" s="42">
        <f t="shared" si="6"/>
        <v>2888757.32</v>
      </c>
      <c r="AC23" s="42">
        <f t="shared" si="6"/>
        <v>3604337.5799999996</v>
      </c>
      <c r="AD23" s="42">
        <f t="shared" si="7"/>
        <v>0</v>
      </c>
      <c r="AE23" s="42">
        <f t="shared" si="8"/>
        <v>21723.1</v>
      </c>
      <c r="AF23" s="42">
        <f t="shared" si="9"/>
        <v>6514817.9999999991</v>
      </c>
      <c r="AG23" s="10"/>
      <c r="AH23" s="18">
        <f t="shared" si="10"/>
        <v>0</v>
      </c>
    </row>
    <row r="24" spans="1:36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6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</row>
    <row r="26" spans="1:36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6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</row>
    <row r="28" spans="1:36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6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6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6" ht="15.75" thickBot="1">
      <c r="A31" s="3"/>
      <c r="B31" s="16"/>
      <c r="C31" s="16"/>
      <c r="D31" s="28" t="s">
        <v>60</v>
      </c>
      <c r="E31" s="16"/>
      <c r="F31" s="4"/>
      <c r="G31" s="33">
        <f>SUM(G18:G29)</f>
        <v>15946749.119999999</v>
      </c>
      <c r="H31" s="33">
        <f t="shared" ref="H31:AH31" si="11">SUM(H18:H29)</f>
        <v>851947.75</v>
      </c>
      <c r="I31" s="33">
        <f t="shared" si="11"/>
        <v>0</v>
      </c>
      <c r="J31" s="33">
        <f t="shared" si="11"/>
        <v>905980</v>
      </c>
      <c r="K31" s="33">
        <f t="shared" si="11"/>
        <v>17704676.870000001</v>
      </c>
      <c r="L31" s="33">
        <f t="shared" si="11"/>
        <v>1773159.36</v>
      </c>
      <c r="M31" s="33">
        <f t="shared" si="11"/>
        <v>21291765.329999998</v>
      </c>
      <c r="N31" s="33">
        <f t="shared" si="11"/>
        <v>0</v>
      </c>
      <c r="O31" s="33">
        <f t="shared" si="11"/>
        <v>665928.45999999961</v>
      </c>
      <c r="P31" s="33">
        <f t="shared" si="11"/>
        <v>23730853.149999999</v>
      </c>
      <c r="Q31" s="33">
        <f t="shared" si="11"/>
        <v>0</v>
      </c>
      <c r="R31" s="33">
        <f t="shared" si="11"/>
        <v>0</v>
      </c>
      <c r="S31" s="33">
        <f t="shared" si="11"/>
        <v>0</v>
      </c>
      <c r="T31" s="33">
        <f t="shared" si="11"/>
        <v>0</v>
      </c>
      <c r="U31" s="33">
        <f t="shared" si="11"/>
        <v>0</v>
      </c>
      <c r="V31" s="33">
        <f t="shared" si="11"/>
        <v>23730853.149999999</v>
      </c>
      <c r="W31" s="33">
        <f t="shared" si="11"/>
        <v>41435530.019999996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17719908.48</v>
      </c>
      <c r="AC31" s="33">
        <f t="shared" si="11"/>
        <v>22143713.079999998</v>
      </c>
      <c r="AD31" s="33">
        <f t="shared" si="11"/>
        <v>0</v>
      </c>
      <c r="AE31" s="33">
        <f t="shared" si="11"/>
        <v>1571908.4599999997</v>
      </c>
      <c r="AF31" s="33">
        <f t="shared" si="11"/>
        <v>41435530.019999996</v>
      </c>
      <c r="AG31" s="27">
        <f t="shared" si="11"/>
        <v>0</v>
      </c>
      <c r="AH31" s="17">
        <f t="shared" si="11"/>
        <v>0</v>
      </c>
    </row>
    <row r="32" spans="1:36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:34" ht="4.5" customHeight="1"/>
    <row r="34" spans="2:34">
      <c r="B34" s="29" t="s">
        <v>33</v>
      </c>
      <c r="C34" s="29"/>
      <c r="G34" s="177" t="s">
        <v>66</v>
      </c>
      <c r="H34" s="177"/>
      <c r="I34" s="177"/>
      <c r="K34" s="177" t="s">
        <v>67</v>
      </c>
      <c r="L34" s="177"/>
      <c r="N34" s="100" t="s">
        <v>101</v>
      </c>
      <c r="W34" s="176" t="s">
        <v>68</v>
      </c>
      <c r="X34" s="176"/>
      <c r="Y34" s="176"/>
      <c r="Z34" s="177" t="s">
        <v>67</v>
      </c>
      <c r="AA34" s="177"/>
      <c r="AC34" s="15" t="s">
        <v>77</v>
      </c>
      <c r="AE34" s="18"/>
    </row>
    <row r="35" spans="2:34" ht="18.75">
      <c r="B35" t="s">
        <v>34</v>
      </c>
      <c r="H35" s="16"/>
      <c r="I35" s="16"/>
      <c r="K35" s="16"/>
      <c r="L35" s="16"/>
      <c r="N35" s="16"/>
      <c r="T35" t="s">
        <v>74</v>
      </c>
      <c r="W35" s="24"/>
      <c r="X35" s="20">
        <v>0</v>
      </c>
      <c r="Y35" s="20"/>
      <c r="Z35" s="20"/>
      <c r="AA35" s="20">
        <f>+X90*1000</f>
        <v>101246000</v>
      </c>
      <c r="AB35" s="20"/>
      <c r="AC35" s="20">
        <f>+X35+AA35</f>
        <v>101246000</v>
      </c>
      <c r="AD35" s="43"/>
      <c r="AH35" s="18"/>
    </row>
    <row r="36" spans="2:34">
      <c r="D36" t="s">
        <v>103</v>
      </c>
      <c r="G36" s="19"/>
      <c r="H36" s="20">
        <f>SUM(G37:G38)</f>
        <v>0</v>
      </c>
      <c r="I36" s="20"/>
      <c r="J36" s="20"/>
      <c r="K36" s="44">
        <f>SUM(J37:J40)</f>
        <v>91120823</v>
      </c>
      <c r="L36" s="20"/>
      <c r="M36" s="20"/>
      <c r="N36" s="44">
        <f>SUM(M37:M40)</f>
        <v>91120823</v>
      </c>
      <c r="T36" t="s">
        <v>99</v>
      </c>
      <c r="W36" s="19"/>
      <c r="X36" s="21">
        <f>+H50</f>
        <v>0</v>
      </c>
      <c r="Y36" s="20"/>
      <c r="Z36" s="20"/>
      <c r="AA36" s="20">
        <f>+K50</f>
        <v>-41435530.019999996</v>
      </c>
      <c r="AB36" s="20"/>
      <c r="AC36" s="20">
        <f>+N50</f>
        <v>-41435530.020000003</v>
      </c>
      <c r="AD36" s="43"/>
    </row>
    <row r="37" spans="2:34" ht="15.75" thickBot="1">
      <c r="D37" s="26" t="s">
        <v>97</v>
      </c>
      <c r="G37" s="44"/>
      <c r="H37" s="20"/>
      <c r="I37" s="20"/>
      <c r="J37" s="50">
        <f>89000000</f>
        <v>89000000</v>
      </c>
      <c r="K37" s="20"/>
      <c r="L37" s="20"/>
      <c r="M37" s="20">
        <f>+G37+J37</f>
        <v>89000000</v>
      </c>
      <c r="N37" s="20"/>
      <c r="T37" t="s">
        <v>43</v>
      </c>
      <c r="W37" s="19"/>
      <c r="X37" s="30">
        <f>+X35+X36</f>
        <v>0</v>
      </c>
      <c r="Y37" s="31"/>
      <c r="Z37" s="31"/>
      <c r="AA37" s="30">
        <f>+AA35+AA36</f>
        <v>59810469.980000004</v>
      </c>
      <c r="AB37" s="31"/>
      <c r="AC37" s="30">
        <f>+AC35+AC36</f>
        <v>59810469.979999997</v>
      </c>
      <c r="AD37" s="19"/>
    </row>
    <row r="38" spans="2:34" ht="15.75" thickTop="1">
      <c r="D38" s="26" t="s">
        <v>100</v>
      </c>
      <c r="G38" s="44"/>
      <c r="H38" s="20"/>
      <c r="I38" s="20"/>
      <c r="J38" s="22">
        <v>2026000</v>
      </c>
      <c r="K38" s="20"/>
      <c r="L38" s="20"/>
      <c r="M38" s="22">
        <f>+G38+J38</f>
        <v>2026000</v>
      </c>
      <c r="N38" s="20"/>
      <c r="W38" s="19"/>
      <c r="X38" s="51"/>
      <c r="Y38" s="31"/>
      <c r="Z38" s="31"/>
      <c r="AA38" s="51"/>
      <c r="AB38" s="31"/>
      <c r="AC38" s="51"/>
      <c r="AD38" s="19"/>
    </row>
    <row r="39" spans="2:34">
      <c r="D39" t="s">
        <v>104</v>
      </c>
      <c r="G39" s="44"/>
      <c r="H39" s="20"/>
      <c r="I39" s="20"/>
      <c r="J39" s="22"/>
      <c r="K39" s="20"/>
      <c r="L39" s="20"/>
      <c r="M39" s="22"/>
      <c r="N39" s="20"/>
      <c r="W39" s="19"/>
      <c r="X39" s="51"/>
      <c r="Y39" s="31"/>
      <c r="Z39" s="31"/>
      <c r="AA39" s="51"/>
      <c r="AB39" s="31"/>
      <c r="AC39" s="51"/>
      <c r="AD39" s="19"/>
    </row>
    <row r="40" spans="2:34">
      <c r="D40" s="26" t="s">
        <v>105</v>
      </c>
      <c r="G40" s="44"/>
      <c r="H40" s="20"/>
      <c r="I40" s="20"/>
      <c r="J40" s="21">
        <v>94823</v>
      </c>
      <c r="K40" s="20"/>
      <c r="L40" s="20"/>
      <c r="M40" s="21">
        <f>+G40+J40</f>
        <v>94823</v>
      </c>
      <c r="N40" s="20"/>
      <c r="W40" s="19"/>
      <c r="X40" s="51"/>
      <c r="Y40" s="31"/>
      <c r="Z40" s="31"/>
      <c r="AA40" s="51"/>
      <c r="AB40" s="31"/>
      <c r="AC40" s="51"/>
      <c r="AD40" s="19"/>
    </row>
    <row r="41" spans="2:34">
      <c r="D41" t="s">
        <v>35</v>
      </c>
      <c r="G41" s="20"/>
      <c r="H41" s="20">
        <v>0</v>
      </c>
      <c r="I41" s="20"/>
      <c r="J41" s="20"/>
      <c r="K41" s="20">
        <v>0</v>
      </c>
      <c r="L41" s="20"/>
      <c r="M41" s="20"/>
      <c r="N41" s="20"/>
      <c r="W41" s="19"/>
      <c r="X41" s="51"/>
      <c r="Y41" s="31"/>
      <c r="Z41" s="31"/>
      <c r="AA41" s="51"/>
      <c r="AB41" s="31"/>
      <c r="AC41" s="22"/>
      <c r="AD41" s="25"/>
      <c r="AE41" s="16"/>
      <c r="AF41" s="16"/>
    </row>
    <row r="42" spans="2:34">
      <c r="D42" t="s">
        <v>36</v>
      </c>
      <c r="G42" s="19"/>
      <c r="H42" s="20">
        <v>0</v>
      </c>
      <c r="I42" s="20"/>
      <c r="J42" s="20"/>
      <c r="K42" s="44">
        <f>+AF23</f>
        <v>6514817.9999999991</v>
      </c>
      <c r="L42" s="20"/>
      <c r="M42" s="20"/>
      <c r="N42" s="20">
        <f>+K42</f>
        <v>6514817.9999999991</v>
      </c>
      <c r="W42" s="19"/>
      <c r="X42" s="51"/>
      <c r="Y42" s="31"/>
      <c r="Z42" s="31"/>
      <c r="AA42" s="51"/>
      <c r="AB42" s="31"/>
      <c r="AC42" s="51"/>
      <c r="AD42" s="25"/>
      <c r="AE42" s="16"/>
      <c r="AF42" s="16"/>
    </row>
    <row r="43" spans="2:34">
      <c r="D43" t="s">
        <v>37</v>
      </c>
      <c r="G43" s="19"/>
      <c r="H43" s="20">
        <v>0</v>
      </c>
      <c r="I43" s="20"/>
      <c r="J43" s="20"/>
      <c r="K43" s="20">
        <v>0</v>
      </c>
      <c r="L43" s="20"/>
      <c r="M43" s="20"/>
      <c r="N43" s="20"/>
      <c r="W43" s="19"/>
      <c r="X43" s="22"/>
      <c r="Y43" s="20"/>
      <c r="Z43" s="20"/>
      <c r="AA43" s="20"/>
      <c r="AB43" s="20"/>
      <c r="AC43" s="22"/>
      <c r="AD43" s="25"/>
      <c r="AE43" s="16"/>
      <c r="AF43" s="16"/>
    </row>
    <row r="44" spans="2:34" ht="14.25" customHeight="1">
      <c r="D44" t="s">
        <v>38</v>
      </c>
      <c r="G44" s="19"/>
      <c r="H44" s="20">
        <v>0</v>
      </c>
      <c r="I44" s="20"/>
      <c r="J44" s="20"/>
      <c r="K44" s="20">
        <v>0</v>
      </c>
      <c r="L44" s="20"/>
      <c r="M44" s="20"/>
      <c r="N44" s="20"/>
      <c r="S44" s="39"/>
      <c r="T44" s="39"/>
      <c r="W44" s="19"/>
      <c r="X44" s="22"/>
      <c r="Y44" s="20"/>
      <c r="Z44" s="20"/>
      <c r="AA44" s="20"/>
      <c r="AB44" s="20"/>
      <c r="AC44" s="22"/>
      <c r="AD44" s="25"/>
      <c r="AE44" s="16"/>
      <c r="AF44" s="16"/>
    </row>
    <row r="45" spans="2:34" ht="13.5" customHeight="1">
      <c r="D45" s="15" t="s">
        <v>39</v>
      </c>
      <c r="G45" s="19"/>
      <c r="H45" s="21">
        <v>0</v>
      </c>
      <c r="I45" s="20"/>
      <c r="J45" s="20"/>
      <c r="K45" s="21">
        <v>0</v>
      </c>
      <c r="L45" s="20"/>
      <c r="M45" s="22"/>
      <c r="N45" s="21"/>
      <c r="S45" s="39"/>
      <c r="T45" s="39"/>
      <c r="W45" s="19"/>
      <c r="X45" s="22"/>
      <c r="Y45" s="20"/>
      <c r="Z45" s="20"/>
      <c r="AA45" s="20"/>
      <c r="AB45" s="20"/>
      <c r="AC45" s="22"/>
      <c r="AD45" s="25"/>
      <c r="AE45" s="16"/>
      <c r="AF45" s="16"/>
    </row>
    <row r="46" spans="2:34" ht="13.5" customHeight="1">
      <c r="D46" t="s">
        <v>57</v>
      </c>
      <c r="G46" s="19"/>
      <c r="H46" s="20">
        <f>SUM(H36:H45)</f>
        <v>0</v>
      </c>
      <c r="I46" s="20"/>
      <c r="J46" s="20"/>
      <c r="K46" s="20">
        <f>SUM(K36:K45)</f>
        <v>97635641</v>
      </c>
      <c r="L46" s="20"/>
      <c r="M46" s="22"/>
      <c r="N46" s="20">
        <f>SUM(N36:N45)</f>
        <v>97635641</v>
      </c>
      <c r="S46" s="39"/>
      <c r="T46" s="65"/>
      <c r="U46" s="65"/>
      <c r="V46" s="16"/>
      <c r="W46" s="16"/>
      <c r="X46" s="25"/>
      <c r="Y46" s="20"/>
      <c r="Z46" s="20"/>
      <c r="AA46" s="20"/>
      <c r="AB46" s="20"/>
      <c r="AC46" s="22"/>
      <c r="AD46" s="25"/>
      <c r="AE46" s="16"/>
      <c r="AF46" s="16"/>
    </row>
    <row r="47" spans="2:34">
      <c r="B47" t="s">
        <v>40</v>
      </c>
      <c r="G47" s="19"/>
      <c r="H47" s="21">
        <v>0</v>
      </c>
      <c r="I47" s="22"/>
      <c r="J47" s="22"/>
      <c r="K47" s="21">
        <v>0</v>
      </c>
      <c r="L47" s="22"/>
      <c r="M47" s="22"/>
      <c r="N47" s="21">
        <v>0</v>
      </c>
      <c r="S47" s="54"/>
      <c r="T47" s="54"/>
      <c r="U47" s="54"/>
      <c r="V47" s="45"/>
      <c r="W47" s="45"/>
      <c r="X47" s="55"/>
      <c r="Y47" s="22"/>
      <c r="Z47" s="22"/>
      <c r="AA47" s="22"/>
      <c r="AB47" s="22"/>
      <c r="AC47" s="51"/>
      <c r="AD47" s="25"/>
      <c r="AE47" s="16"/>
      <c r="AF47" s="16"/>
    </row>
    <row r="48" spans="2:34" ht="15" customHeight="1">
      <c r="B48" s="29" t="s">
        <v>41</v>
      </c>
      <c r="C48" s="29"/>
      <c r="G48" s="19"/>
      <c r="H48" s="20">
        <f>+H46-H47</f>
        <v>0</v>
      </c>
      <c r="I48" s="22"/>
      <c r="J48" s="22"/>
      <c r="K48" s="22">
        <f>+K46-K47</f>
        <v>97635641</v>
      </c>
      <c r="L48" s="22"/>
      <c r="M48" s="22"/>
      <c r="N48" s="22">
        <f>+N46-N47</f>
        <v>97635641</v>
      </c>
      <c r="S48" s="56"/>
      <c r="T48" s="60"/>
      <c r="U48" s="61"/>
      <c r="V48" s="61"/>
      <c r="W48" s="61"/>
      <c r="X48" s="55"/>
      <c r="Y48" s="20"/>
      <c r="Z48" s="20"/>
      <c r="AA48" s="20"/>
      <c r="AB48" s="20"/>
      <c r="AC48" s="22"/>
      <c r="AD48" s="25"/>
      <c r="AE48" s="16"/>
      <c r="AF48" s="16"/>
    </row>
    <row r="49" spans="2:32" ht="15" customHeight="1">
      <c r="B49" t="s">
        <v>56</v>
      </c>
      <c r="D49" t="s">
        <v>69</v>
      </c>
      <c r="G49" s="19"/>
      <c r="H49" s="20"/>
      <c r="I49" s="22"/>
      <c r="J49" s="22"/>
      <c r="K49" s="22"/>
      <c r="L49" s="22"/>
      <c r="M49" s="22"/>
      <c r="N49" s="22"/>
      <c r="S49" s="56"/>
      <c r="T49" s="60"/>
      <c r="U49" s="61"/>
      <c r="V49" s="61"/>
      <c r="W49" s="61"/>
      <c r="X49" s="55"/>
      <c r="Y49" s="20"/>
      <c r="Z49" s="20"/>
      <c r="AA49" s="20"/>
      <c r="AB49" s="20"/>
      <c r="AC49" s="22"/>
      <c r="AD49" s="25"/>
      <c r="AE49" s="16"/>
      <c r="AF49" s="16"/>
    </row>
    <row r="50" spans="2:32" ht="16.5" customHeight="1">
      <c r="D50" t="s">
        <v>75</v>
      </c>
      <c r="G50" s="19"/>
      <c r="H50" s="44">
        <v>0</v>
      </c>
      <c r="I50" s="22"/>
      <c r="J50" s="22"/>
      <c r="K50" s="22">
        <f>-AF31</f>
        <v>-41435530.019999996</v>
      </c>
      <c r="L50" s="22"/>
      <c r="M50" s="22"/>
      <c r="N50" s="22">
        <v>-41435530.020000003</v>
      </c>
      <c r="P50" s="18"/>
      <c r="S50" s="57"/>
      <c r="T50" s="61"/>
      <c r="U50" s="61"/>
      <c r="V50" s="40"/>
      <c r="W50" s="40"/>
      <c r="X50" s="55"/>
      <c r="Y50" s="20"/>
      <c r="Z50" s="20"/>
      <c r="AA50" s="20"/>
      <c r="AB50" s="20"/>
      <c r="AC50" s="22"/>
      <c r="AD50" s="25"/>
      <c r="AE50" s="16"/>
      <c r="AF50" s="16"/>
    </row>
    <row r="51" spans="2:32" ht="13.5" customHeight="1" thickBot="1">
      <c r="B51" s="29" t="s">
        <v>61</v>
      </c>
      <c r="C51" s="29"/>
      <c r="D51" s="29"/>
      <c r="E51" s="29"/>
      <c r="F51" s="29"/>
      <c r="G51" s="35"/>
      <c r="H51" s="64">
        <f>SUM(H48:H50)</f>
        <v>0</v>
      </c>
      <c r="I51" s="34"/>
      <c r="J51" s="34"/>
      <c r="K51" s="64">
        <f>SUM(K48:K50)</f>
        <v>56200110.980000004</v>
      </c>
      <c r="L51" s="34"/>
      <c r="M51" s="34"/>
      <c r="N51" s="64">
        <f>SUM(N48:N50)</f>
        <v>56200110.979999997</v>
      </c>
      <c r="S51" s="57"/>
      <c r="T51" s="61"/>
      <c r="U51" s="61"/>
      <c r="V51" s="40"/>
      <c r="W51" s="40"/>
      <c r="X51" s="45"/>
      <c r="AC51" s="18"/>
    </row>
    <row r="52" spans="2:32" ht="13.5" customHeight="1" thickTop="1">
      <c r="B52" s="29" t="s">
        <v>74</v>
      </c>
      <c r="C52" s="29"/>
      <c r="D52" s="29"/>
      <c r="E52" s="29"/>
      <c r="F52" s="29"/>
      <c r="G52" s="35"/>
      <c r="H52" s="31">
        <v>0</v>
      </c>
      <c r="I52" s="34"/>
      <c r="J52" s="34"/>
      <c r="K52" s="34">
        <v>101246000</v>
      </c>
      <c r="L52" s="34"/>
      <c r="M52" s="34"/>
      <c r="N52" s="34">
        <f>101246000</f>
        <v>101246000</v>
      </c>
      <c r="S52" s="57"/>
      <c r="T52" s="61"/>
      <c r="U52" s="61"/>
      <c r="V52" s="40"/>
      <c r="W52" s="40"/>
      <c r="X52" s="45"/>
      <c r="AC52" s="18"/>
    </row>
    <row r="53" spans="2:32" ht="13.5" customHeight="1">
      <c r="B53" t="s">
        <v>99</v>
      </c>
      <c r="C53" s="29"/>
      <c r="D53" s="29"/>
      <c r="E53" s="29"/>
      <c r="F53" s="29"/>
      <c r="G53" s="35"/>
      <c r="H53" s="107">
        <f>+H50</f>
        <v>0</v>
      </c>
      <c r="I53" s="107"/>
      <c r="J53" s="107"/>
      <c r="K53" s="107">
        <f>+K50</f>
        <v>-41435530.019999996</v>
      </c>
      <c r="L53" s="107"/>
      <c r="M53" s="107"/>
      <c r="N53" s="107">
        <f>+N50</f>
        <v>-41435530.020000003</v>
      </c>
      <c r="S53" s="57"/>
      <c r="T53" s="61"/>
      <c r="U53" s="61"/>
      <c r="V53" s="40"/>
      <c r="W53" s="40"/>
      <c r="X53" s="45"/>
      <c r="AC53" s="18"/>
    </row>
    <row r="54" spans="2:32" ht="13.5" customHeight="1">
      <c r="B54" s="29" t="s">
        <v>43</v>
      </c>
      <c r="C54" s="29"/>
      <c r="D54" s="29"/>
      <c r="E54" s="29"/>
      <c r="F54" s="29"/>
      <c r="G54" s="35"/>
      <c r="H54" s="105">
        <f>+H52+H53</f>
        <v>0</v>
      </c>
      <c r="I54" s="34"/>
      <c r="J54" s="34"/>
      <c r="K54" s="105">
        <f>+K52+K53</f>
        <v>59810469.980000004</v>
      </c>
      <c r="L54" s="34"/>
      <c r="M54" s="34"/>
      <c r="N54" s="105">
        <f>+N52+N53:N53</f>
        <v>59810469.979999997</v>
      </c>
      <c r="S54" s="57"/>
      <c r="T54" s="61"/>
      <c r="U54" s="61"/>
      <c r="V54" s="40"/>
      <c r="W54" s="40"/>
      <c r="X54" s="45"/>
      <c r="AC54" s="18"/>
    </row>
    <row r="55" spans="2:32">
      <c r="B55" s="26" t="s">
        <v>42</v>
      </c>
      <c r="C55" s="26"/>
      <c r="H55" s="59"/>
      <c r="I55" s="22"/>
      <c r="J55" s="22"/>
      <c r="K55" s="22"/>
      <c r="L55" s="22"/>
      <c r="M55" s="22"/>
      <c r="N55" s="22"/>
      <c r="S55" s="56"/>
      <c r="T55" s="60"/>
      <c r="U55" s="61"/>
      <c r="V55" s="40"/>
      <c r="W55" s="40"/>
      <c r="X55" s="45"/>
      <c r="AC55" s="18"/>
    </row>
    <row r="56" spans="2:32" ht="13.5" customHeight="1">
      <c r="B56" s="26" t="s">
        <v>73</v>
      </c>
      <c r="C56" s="26"/>
      <c r="H56" s="22"/>
      <c r="I56" s="22"/>
      <c r="J56" s="22"/>
      <c r="K56" s="20"/>
      <c r="L56" s="22"/>
      <c r="M56" s="22"/>
      <c r="N56" s="20"/>
      <c r="S56" s="57"/>
      <c r="T56" s="61"/>
      <c r="U56" s="61"/>
      <c r="V56" s="40"/>
      <c r="W56" s="40"/>
      <c r="X56" s="45"/>
    </row>
    <row r="57" spans="2:32" ht="15" customHeight="1">
      <c r="B57" s="26"/>
      <c r="C57" s="26" t="s">
        <v>102</v>
      </c>
      <c r="F57" t="s">
        <v>44</v>
      </c>
      <c r="H57" s="20"/>
      <c r="I57" s="20"/>
      <c r="J57" s="20"/>
      <c r="K57" s="20"/>
      <c r="L57" t="s">
        <v>47</v>
      </c>
      <c r="M57" s="20"/>
      <c r="N57" s="20"/>
      <c r="O57" s="43"/>
      <c r="S57" s="56"/>
      <c r="T57" s="60"/>
      <c r="U57" s="61"/>
      <c r="V57" s="40"/>
      <c r="W57" s="63"/>
      <c r="X57" s="45"/>
    </row>
    <row r="58" spans="2:32" ht="15" customHeight="1">
      <c r="B58" s="26"/>
      <c r="C58" s="26"/>
      <c r="D58" s="26"/>
      <c r="H58" s="20"/>
      <c r="I58" s="20"/>
      <c r="J58" s="20"/>
      <c r="K58" s="20"/>
      <c r="M58" s="20"/>
      <c r="N58" s="20"/>
      <c r="O58" s="43"/>
      <c r="S58" s="56"/>
      <c r="T58" s="61"/>
      <c r="U58" s="61"/>
      <c r="V58" s="40"/>
      <c r="W58" s="40"/>
      <c r="X58" s="45"/>
    </row>
    <row r="59" spans="2:32" ht="15" customHeight="1">
      <c r="B59" s="16"/>
      <c r="C59" s="16"/>
      <c r="D59" s="16"/>
      <c r="E59" s="16"/>
      <c r="F59" s="38" t="s">
        <v>49</v>
      </c>
      <c r="L59" s="38" t="s">
        <v>72</v>
      </c>
      <c r="N59" s="22"/>
      <c r="O59" s="18"/>
      <c r="P59" s="18"/>
      <c r="S59" s="56"/>
      <c r="T59" s="60"/>
      <c r="U59" s="61"/>
      <c r="V59" s="62"/>
      <c r="W59" s="61"/>
      <c r="X59" s="45"/>
    </row>
    <row r="60" spans="2:32" ht="15" customHeight="1">
      <c r="B60" s="28"/>
      <c r="C60" s="28"/>
      <c r="D60" s="16"/>
      <c r="E60" s="16"/>
      <c r="F60" t="s">
        <v>46</v>
      </c>
      <c r="L60" t="s">
        <v>71</v>
      </c>
      <c r="N60" s="51"/>
      <c r="S60" s="57"/>
      <c r="T60" s="61"/>
      <c r="U60" s="61"/>
      <c r="V60" s="40"/>
      <c r="W60" s="40"/>
      <c r="X60" s="45"/>
    </row>
    <row r="61" spans="2:32">
      <c r="F61" t="s">
        <v>45</v>
      </c>
      <c r="L61" t="s">
        <v>48</v>
      </c>
      <c r="N61" s="22"/>
      <c r="S61" s="57"/>
      <c r="T61" s="61"/>
      <c r="U61" s="61"/>
      <c r="V61" s="40"/>
      <c r="W61" s="40"/>
      <c r="X61" s="16"/>
    </row>
    <row r="62" spans="2:32">
      <c r="L62" t="s">
        <v>45</v>
      </c>
      <c r="N62" s="22"/>
      <c r="S62" s="57"/>
      <c r="T62" s="57"/>
      <c r="U62" s="57"/>
      <c r="V62" s="40"/>
      <c r="W62" s="50"/>
    </row>
    <row r="63" spans="2:32">
      <c r="S63" s="56"/>
      <c r="T63" s="56"/>
      <c r="U63" s="57"/>
      <c r="V63" s="62"/>
      <c r="W63" s="57"/>
    </row>
    <row r="64" spans="2:32">
      <c r="S64" s="26"/>
    </row>
    <row r="66" spans="14:29">
      <c r="T66" s="39" t="s">
        <v>78</v>
      </c>
      <c r="U66" s="39"/>
      <c r="X66" s="19"/>
    </row>
    <row r="67" spans="14:29">
      <c r="N67" s="43"/>
      <c r="T67" s="54" t="s">
        <v>64</v>
      </c>
      <c r="U67" s="54"/>
      <c r="V67" s="45"/>
      <c r="W67" s="45"/>
      <c r="X67" s="55"/>
    </row>
    <row r="68" spans="14:29">
      <c r="T68" s="56" t="s">
        <v>79</v>
      </c>
      <c r="U68" s="57"/>
      <c r="V68" s="57"/>
      <c r="W68" s="57"/>
      <c r="X68" s="58"/>
    </row>
    <row r="69" spans="14:29">
      <c r="T69" s="56"/>
      <c r="U69" s="57"/>
      <c r="V69" s="57"/>
      <c r="W69" s="57"/>
      <c r="X69" s="58"/>
      <c r="Y69" s="91" t="s">
        <v>106</v>
      </c>
      <c r="AB69" s="95" t="s">
        <v>95</v>
      </c>
    </row>
    <row r="70" spans="14:29">
      <c r="S70" s="82" t="s">
        <v>82</v>
      </c>
      <c r="T70" s="83"/>
      <c r="U70" s="84"/>
      <c r="V70" s="84"/>
      <c r="W70" s="84"/>
      <c r="X70" s="85"/>
      <c r="Y70" s="86" t="s">
        <v>107</v>
      </c>
      <c r="AB70" s="92" t="s">
        <v>96</v>
      </c>
    </row>
    <row r="71" spans="14:29">
      <c r="N71" s="22"/>
      <c r="S71" s="89" t="s">
        <v>83</v>
      </c>
      <c r="T71" s="60" t="s">
        <v>80</v>
      </c>
      <c r="U71" s="61" t="s">
        <v>4</v>
      </c>
      <c r="V71" s="40">
        <v>19427</v>
      </c>
      <c r="W71" s="40"/>
      <c r="X71" s="69"/>
      <c r="Y71" s="79"/>
      <c r="AB71" s="96"/>
    </row>
    <row r="72" spans="14:29">
      <c r="N72" s="22"/>
      <c r="S72" s="72"/>
      <c r="T72" s="61"/>
      <c r="U72" s="61" t="s">
        <v>5</v>
      </c>
      <c r="V72" s="40">
        <v>23552</v>
      </c>
      <c r="W72" s="40"/>
      <c r="X72" s="69"/>
      <c r="Y72" s="79"/>
      <c r="AB72" s="96"/>
    </row>
    <row r="73" spans="14:29">
      <c r="N73" s="22"/>
      <c r="S73" s="72"/>
      <c r="T73" s="61"/>
      <c r="U73" s="61" t="s">
        <v>7</v>
      </c>
      <c r="V73" s="48">
        <v>25931</v>
      </c>
      <c r="W73" s="40">
        <f>SUM(V71:V73)</f>
        <v>68910</v>
      </c>
      <c r="X73" s="69"/>
      <c r="Y73" s="80">
        <f>+W73</f>
        <v>68910</v>
      </c>
      <c r="Z73" s="18"/>
      <c r="AB73" s="96"/>
    </row>
    <row r="74" spans="14:29">
      <c r="N74" s="22"/>
      <c r="P74" s="43"/>
      <c r="S74" s="70" t="s">
        <v>81</v>
      </c>
      <c r="T74" s="60"/>
      <c r="U74" s="61"/>
      <c r="V74" s="40"/>
      <c r="W74" s="40"/>
      <c r="X74" s="73"/>
      <c r="Y74" s="80"/>
      <c r="Z74" s="18"/>
      <c r="AB74" s="96"/>
    </row>
    <row r="75" spans="14:29">
      <c r="N75" s="22"/>
      <c r="P75" s="43"/>
      <c r="S75" s="72"/>
      <c r="T75" s="60" t="s">
        <v>89</v>
      </c>
      <c r="U75" s="61" t="s">
        <v>4</v>
      </c>
      <c r="V75" s="40">
        <v>4381</v>
      </c>
      <c r="W75" s="40"/>
      <c r="X75" s="73"/>
      <c r="Y75" s="80">
        <v>0</v>
      </c>
      <c r="Z75" s="93"/>
      <c r="AA75" s="94"/>
      <c r="AB75" s="97">
        <v>94.822999999999993</v>
      </c>
      <c r="AC75" s="88" t="s">
        <v>98</v>
      </c>
    </row>
    <row r="76" spans="14:29">
      <c r="N76" s="22"/>
      <c r="P76" s="43"/>
      <c r="S76" s="72"/>
      <c r="T76" s="60" t="s">
        <v>90</v>
      </c>
      <c r="U76" s="61" t="s">
        <v>5</v>
      </c>
      <c r="V76" s="48">
        <v>0</v>
      </c>
      <c r="W76" s="40">
        <f>+V75+V76</f>
        <v>4381</v>
      </c>
      <c r="X76" s="73"/>
      <c r="Y76" s="80">
        <v>0</v>
      </c>
      <c r="AB76" s="96"/>
    </row>
    <row r="77" spans="14:29">
      <c r="N77" s="22"/>
      <c r="P77" s="43"/>
      <c r="S77" s="60" t="s">
        <v>91</v>
      </c>
      <c r="T77" s="60"/>
      <c r="U77" s="61" t="s">
        <v>4</v>
      </c>
      <c r="V77" s="40"/>
      <c r="W77" s="48">
        <v>2026</v>
      </c>
      <c r="X77" s="71">
        <f>SUM(W73:W77)</f>
        <v>75317</v>
      </c>
      <c r="Y77" s="80">
        <f>+W77</f>
        <v>2026</v>
      </c>
      <c r="Z77" s="88" t="s">
        <v>63</v>
      </c>
      <c r="AB77" s="96"/>
    </row>
    <row r="78" spans="14:29">
      <c r="N78" s="22"/>
      <c r="S78" s="90" t="s">
        <v>84</v>
      </c>
      <c r="T78" s="60"/>
      <c r="U78" s="61"/>
      <c r="V78" s="40"/>
      <c r="W78" s="40"/>
      <c r="X78" s="69"/>
      <c r="Y78" s="79"/>
      <c r="AB78" s="96"/>
    </row>
    <row r="79" spans="14:29">
      <c r="N79" s="22"/>
      <c r="S79" s="87"/>
      <c r="T79" s="60" t="s">
        <v>93</v>
      </c>
      <c r="U79" s="61" t="s">
        <v>4</v>
      </c>
      <c r="V79" s="40"/>
      <c r="W79" s="40">
        <v>450</v>
      </c>
      <c r="X79" s="73"/>
      <c r="Y79" s="80">
        <f>+W79</f>
        <v>450</v>
      </c>
      <c r="AB79" s="96"/>
    </row>
    <row r="80" spans="14:29">
      <c r="S80" s="87"/>
      <c r="T80" s="60" t="s">
        <v>92</v>
      </c>
      <c r="U80" s="61" t="s">
        <v>4</v>
      </c>
      <c r="V80" s="40">
        <v>0</v>
      </c>
      <c r="W80" s="40"/>
      <c r="X80" s="69"/>
      <c r="Y80" s="80">
        <v>0</v>
      </c>
      <c r="AB80" s="96"/>
    </row>
    <row r="81" spans="19:29">
      <c r="S81" s="87"/>
      <c r="T81" s="60"/>
      <c r="U81" s="61" t="s">
        <v>5</v>
      </c>
      <c r="V81" s="48">
        <v>236</v>
      </c>
      <c r="W81" s="40">
        <f>SUM(V80:V81)</f>
        <v>236</v>
      </c>
      <c r="X81" s="69"/>
      <c r="Y81" s="80">
        <f>+W81</f>
        <v>236</v>
      </c>
      <c r="AB81" s="96"/>
    </row>
    <row r="82" spans="19:29">
      <c r="S82" s="87"/>
      <c r="T82" s="60" t="s">
        <v>85</v>
      </c>
      <c r="U82" s="61"/>
      <c r="V82" s="40"/>
      <c r="W82" s="40"/>
      <c r="X82" s="69"/>
      <c r="Y82" s="79"/>
      <c r="AB82" s="96"/>
    </row>
    <row r="83" spans="19:29">
      <c r="S83" s="87"/>
      <c r="T83" s="60"/>
      <c r="U83" s="61" t="s">
        <v>4</v>
      </c>
      <c r="V83" s="40">
        <v>0</v>
      </c>
      <c r="W83" s="63"/>
      <c r="X83" s="69"/>
      <c r="Y83" s="79"/>
      <c r="AB83" s="96"/>
    </row>
    <row r="84" spans="19:29">
      <c r="S84" s="87"/>
      <c r="T84" s="60"/>
      <c r="U84" s="61" t="s">
        <v>5</v>
      </c>
      <c r="V84" s="40">
        <v>4213</v>
      </c>
      <c r="W84" s="40"/>
      <c r="X84" s="69"/>
      <c r="Y84" s="79"/>
      <c r="AB84" s="96"/>
    </row>
    <row r="85" spans="19:29">
      <c r="S85" s="87"/>
      <c r="T85" s="60"/>
      <c r="U85" s="61" t="s">
        <v>7</v>
      </c>
      <c r="V85" s="48">
        <v>15191</v>
      </c>
      <c r="W85" s="48">
        <f>SUM(V83:V85)</f>
        <v>19404</v>
      </c>
      <c r="X85" s="74">
        <f>SUM(W79:W85)</f>
        <v>20090</v>
      </c>
      <c r="Y85" s="80">
        <f>+W85</f>
        <v>19404</v>
      </c>
      <c r="AB85" s="96"/>
    </row>
    <row r="86" spans="19:29">
      <c r="S86" s="87"/>
      <c r="T86" s="60" t="s">
        <v>86</v>
      </c>
      <c r="U86" s="60"/>
      <c r="V86" s="63"/>
      <c r="W86" s="63"/>
      <c r="X86" s="73">
        <f>SUM(X77:X85)</f>
        <v>95407</v>
      </c>
      <c r="Y86" s="79"/>
      <c r="AB86" s="96"/>
    </row>
    <row r="87" spans="19:29">
      <c r="S87" s="90" t="s">
        <v>87</v>
      </c>
      <c r="T87" s="61"/>
      <c r="U87" s="61" t="s">
        <v>4</v>
      </c>
      <c r="V87" s="40"/>
      <c r="W87" s="40">
        <v>2209</v>
      </c>
      <c r="X87" s="69"/>
      <c r="Y87" s="79"/>
      <c r="AB87" s="96"/>
    </row>
    <row r="88" spans="19:29">
      <c r="S88" s="87"/>
      <c r="T88" s="61"/>
      <c r="U88" s="61" t="s">
        <v>5</v>
      </c>
      <c r="V88" s="40"/>
      <c r="W88" s="40">
        <v>1466</v>
      </c>
      <c r="X88" s="69"/>
      <c r="Y88" s="79"/>
      <c r="AB88" s="96"/>
    </row>
    <row r="89" spans="19:29">
      <c r="S89" s="87"/>
      <c r="T89" s="61"/>
      <c r="U89" s="61" t="s">
        <v>7</v>
      </c>
      <c r="V89" s="40"/>
      <c r="W89" s="48">
        <v>2164</v>
      </c>
      <c r="X89" s="74">
        <f>SUM(W87:W89)</f>
        <v>5839</v>
      </c>
      <c r="Y89" s="81"/>
      <c r="AB89" s="98"/>
    </row>
    <row r="90" spans="19:29">
      <c r="S90" s="90" t="s">
        <v>88</v>
      </c>
      <c r="T90" s="60"/>
      <c r="U90" s="61"/>
      <c r="V90" s="62"/>
      <c r="W90" s="68"/>
      <c r="X90" s="73">
        <f>+X86+X89</f>
        <v>101246</v>
      </c>
      <c r="Y90" s="80">
        <f>SUM(Y73:Y85)</f>
        <v>91026</v>
      </c>
      <c r="Z90" s="88" t="s">
        <v>94</v>
      </c>
      <c r="AB90" s="99">
        <f>SUM(AB73:AB89)</f>
        <v>94.822999999999993</v>
      </c>
      <c r="AC90" s="88" t="s">
        <v>94</v>
      </c>
    </row>
    <row r="91" spans="19:29">
      <c r="S91" s="75"/>
      <c r="T91" s="76"/>
      <c r="U91" s="76"/>
      <c r="V91" s="76"/>
      <c r="W91" s="77"/>
      <c r="X91" s="78"/>
      <c r="Y91" s="81"/>
      <c r="AB91" s="98"/>
    </row>
    <row r="92" spans="19:29">
      <c r="AB92" s="18">
        <f>+Y90+AB90</f>
        <v>91120.823000000004</v>
      </c>
      <c r="AC92" t="s">
        <v>108</v>
      </c>
    </row>
  </sheetData>
  <mergeCells count="14">
    <mergeCell ref="W34:Y34"/>
    <mergeCell ref="Z34:AA34"/>
    <mergeCell ref="A13:F13"/>
    <mergeCell ref="L13:P13"/>
    <mergeCell ref="Q13:U13"/>
    <mergeCell ref="A15:F15"/>
    <mergeCell ref="G34:I34"/>
    <mergeCell ref="K34:L34"/>
    <mergeCell ref="AB12:AF12"/>
    <mergeCell ref="A2:R2"/>
    <mergeCell ref="A3:R3"/>
    <mergeCell ref="G12:K12"/>
    <mergeCell ref="L12:V12"/>
    <mergeCell ref="X12:AA12"/>
  </mergeCells>
  <printOptions horizontalCentered="1"/>
  <pageMargins left="0" right="0" top="0.18" bottom="0" header="0.17" footer="0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14"/>
  <sheetViews>
    <sheetView workbookViewId="0">
      <selection activeCell="O17" sqref="O17"/>
    </sheetView>
  </sheetViews>
  <sheetFormatPr defaultRowHeight="15"/>
  <cols>
    <col min="1" max="1" width="1.28515625" customWidth="1"/>
    <col min="2" max="3" width="5.140625" customWidth="1"/>
    <col min="4" max="4" width="34" customWidth="1"/>
    <col min="5" max="5" width="1.28515625" customWidth="1"/>
    <col min="6" max="6" width="8.42578125" customWidth="1"/>
    <col min="7" max="7" width="12.7109375" customWidth="1"/>
    <col min="8" max="8" width="13.85546875" customWidth="1"/>
    <col min="9" max="9" width="8.7109375" customWidth="1"/>
    <col min="10" max="11" width="13.140625" customWidth="1"/>
    <col min="12" max="12" width="13.28515625" customWidth="1"/>
    <col min="13" max="13" width="12.85546875" customWidth="1"/>
    <col min="14" max="14" width="14.5703125" customWidth="1"/>
    <col min="15" max="15" width="13.7109375" customWidth="1"/>
    <col min="16" max="16" width="13.5703125" customWidth="1"/>
    <col min="17" max="17" width="15" customWidth="1"/>
    <col min="18" max="18" width="12" customWidth="1"/>
    <col min="19" max="19" width="7.85546875" customWidth="1"/>
    <col min="20" max="20" width="14" customWidth="1"/>
    <col min="21" max="21" width="12" customWidth="1"/>
    <col min="22" max="22" width="13" customWidth="1"/>
    <col min="23" max="23" width="14" customWidth="1"/>
    <col min="24" max="24" width="10" customWidth="1"/>
    <col min="25" max="25" width="14.7109375" customWidth="1"/>
    <col min="26" max="26" width="8.28515625" customWidth="1"/>
    <col min="27" max="27" width="8.85546875" customWidth="1"/>
    <col min="28" max="28" width="13.28515625" customWidth="1"/>
    <col min="29" max="29" width="13.5703125" customWidth="1"/>
    <col min="30" max="30" width="8.140625" customWidth="1"/>
    <col min="31" max="31" width="12" customWidth="1"/>
    <col min="32" max="32" width="13.28515625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86" t="s">
        <v>220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 ht="7.5" customHeight="1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102">
        <f>870483.81+279064.36</f>
        <v>1149548.17</v>
      </c>
      <c r="H18" s="42">
        <v>4407870.8</v>
      </c>
      <c r="I18" s="32">
        <v>0</v>
      </c>
      <c r="J18" s="32">
        <v>289607.15000000002</v>
      </c>
      <c r="K18" s="32">
        <f>SUM(G18:J18)</f>
        <v>5847026.1200000001</v>
      </c>
      <c r="L18" s="42">
        <v>23437.5</v>
      </c>
      <c r="M18" s="42">
        <v>134771.43</v>
      </c>
      <c r="N18" s="42">
        <v>0</v>
      </c>
      <c r="O18" s="42">
        <v>0</v>
      </c>
      <c r="P18" s="32">
        <f>SUM(L18:O18)</f>
        <v>158208.93</v>
      </c>
      <c r="Q18" s="32">
        <v>0</v>
      </c>
      <c r="R18" s="32">
        <v>1047590.86</v>
      </c>
      <c r="S18" s="32">
        <v>0</v>
      </c>
      <c r="T18" s="32">
        <v>0</v>
      </c>
      <c r="U18" s="32">
        <f>SUM(Q18:T18)</f>
        <v>1047590.86</v>
      </c>
      <c r="V18" s="32">
        <f>+P18+U18</f>
        <v>1205799.79</v>
      </c>
      <c r="W18" s="32">
        <f>+K18+V18</f>
        <v>7052825.9100000001</v>
      </c>
      <c r="X18" s="32"/>
      <c r="Y18" s="32"/>
      <c r="Z18" s="32"/>
      <c r="AA18" s="32">
        <f>SUM(X18:Z18)</f>
        <v>0</v>
      </c>
      <c r="AB18" s="32">
        <f>+G18+L18+Q18+X18</f>
        <v>1172985.67</v>
      </c>
      <c r="AC18" s="42">
        <f>+H18+M18+R18+Y18</f>
        <v>5590233.0899999999</v>
      </c>
      <c r="AD18" s="32">
        <f>+I18+N18+S18</f>
        <v>0</v>
      </c>
      <c r="AE18" s="32">
        <f>+J18+O18+T18+Z18</f>
        <v>289607.15000000002</v>
      </c>
      <c r="AF18" s="32">
        <f>SUM(AB18:AE18)</f>
        <v>7052825.9100000001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8387343.1900000004</v>
      </c>
      <c r="H19" s="32">
        <v>12056974.380000001</v>
      </c>
      <c r="I19" s="32">
        <v>0</v>
      </c>
      <c r="J19" s="32">
        <v>0</v>
      </c>
      <c r="K19" s="32">
        <f t="shared" ref="K19:K29" si="0">SUM(G19:J19)</f>
        <v>20444317.57</v>
      </c>
      <c r="L19" s="32">
        <v>0</v>
      </c>
      <c r="M19" s="32">
        <v>777150.43</v>
      </c>
      <c r="N19" s="32">
        <v>0</v>
      </c>
      <c r="O19" s="32">
        <v>5579109.7800000003</v>
      </c>
      <c r="P19" s="32">
        <f t="shared" ref="P19:P29" si="1">SUM(L19:O19)</f>
        <v>6356260.21</v>
      </c>
      <c r="Q19" s="32">
        <v>0</v>
      </c>
      <c r="R19" s="32">
        <v>1058905.32</v>
      </c>
      <c r="S19" s="32">
        <v>0</v>
      </c>
      <c r="T19" s="32">
        <v>73600</v>
      </c>
      <c r="U19" s="32">
        <f t="shared" ref="U19:U29" si="2">SUM(Q19:T19)</f>
        <v>1132505.32</v>
      </c>
      <c r="V19" s="32">
        <f t="shared" ref="V19:V29" si="3">+P19+U19</f>
        <v>7488765.5300000003</v>
      </c>
      <c r="W19" s="32">
        <f t="shared" ref="W19:W29" si="4">+K19+V19</f>
        <v>27933083.100000001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8387343.1900000004</v>
      </c>
      <c r="AC19" s="32">
        <f t="shared" si="6"/>
        <v>13893030.130000001</v>
      </c>
      <c r="AD19" s="32">
        <f t="shared" ref="AD19:AD29" si="7">+I19+N19+S19</f>
        <v>0</v>
      </c>
      <c r="AE19" s="32">
        <f t="shared" ref="AE19:AE29" si="8">+J19+O19+T19+Z19</f>
        <v>5652709.7800000003</v>
      </c>
      <c r="AF19" s="32">
        <f t="shared" ref="AF19:AF29" si="9">SUM(AB19:AE19)</f>
        <v>27933083.100000001</v>
      </c>
      <c r="AG19" s="10"/>
      <c r="AH19" s="18">
        <f t="shared" ref="AH19:AH29" si="10">+W19+AA19-AF19</f>
        <v>0</v>
      </c>
      <c r="AJ19" s="66">
        <f>+AF18+AF19</f>
        <v>34985909.010000005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3227171.99</v>
      </c>
      <c r="H23" s="42">
        <v>1848516.31</v>
      </c>
      <c r="I23" s="42">
        <v>0</v>
      </c>
      <c r="J23" s="42">
        <v>16392.849999999999</v>
      </c>
      <c r="K23" s="42">
        <f t="shared" si="0"/>
        <v>5092081.1500000004</v>
      </c>
      <c r="L23" s="42">
        <v>0</v>
      </c>
      <c r="M23" s="42">
        <v>171582.14</v>
      </c>
      <c r="N23" s="42">
        <v>0</v>
      </c>
      <c r="O23" s="42">
        <v>698169.5</v>
      </c>
      <c r="P23" s="42">
        <f t="shared" si="1"/>
        <v>869751.64</v>
      </c>
      <c r="Q23" s="42">
        <v>0</v>
      </c>
      <c r="R23" s="42">
        <v>39102.04</v>
      </c>
      <c r="S23" s="42">
        <v>0</v>
      </c>
      <c r="T23" s="42">
        <v>4166.04</v>
      </c>
      <c r="U23" s="42">
        <f t="shared" si="2"/>
        <v>43268.08</v>
      </c>
      <c r="V23" s="42">
        <f t="shared" si="3"/>
        <v>913019.72</v>
      </c>
      <c r="W23" s="42">
        <f t="shared" si="4"/>
        <v>6005100.8700000001</v>
      </c>
      <c r="X23" s="42"/>
      <c r="Y23" s="42"/>
      <c r="Z23" s="42"/>
      <c r="AA23" s="42">
        <f t="shared" si="5"/>
        <v>0</v>
      </c>
      <c r="AB23" s="42">
        <f t="shared" si="6"/>
        <v>3227171.99</v>
      </c>
      <c r="AC23" s="42">
        <f t="shared" si="6"/>
        <v>2059200.4900000002</v>
      </c>
      <c r="AD23" s="42">
        <f t="shared" si="7"/>
        <v>0</v>
      </c>
      <c r="AE23" s="42">
        <f t="shared" si="8"/>
        <v>718728.39</v>
      </c>
      <c r="AF23" s="42">
        <f t="shared" si="9"/>
        <v>6005100.8700000001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34985909.010000005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12764063.35</v>
      </c>
      <c r="H31" s="33">
        <f t="shared" ref="H31:AH31" si="11">SUM(H18:H29)</f>
        <v>18313361.489999998</v>
      </c>
      <c r="I31" s="33">
        <f t="shared" si="11"/>
        <v>0</v>
      </c>
      <c r="J31" s="33">
        <f t="shared" si="11"/>
        <v>306000</v>
      </c>
      <c r="K31" s="33">
        <f t="shared" si="11"/>
        <v>31383424.840000004</v>
      </c>
      <c r="L31" s="33">
        <f t="shared" si="11"/>
        <v>23437.5</v>
      </c>
      <c r="M31" s="33">
        <f t="shared" si="11"/>
        <v>1083504</v>
      </c>
      <c r="N31" s="33">
        <f t="shared" si="11"/>
        <v>0</v>
      </c>
      <c r="O31" s="33">
        <f t="shared" si="11"/>
        <v>6277279.2800000003</v>
      </c>
      <c r="P31" s="33">
        <f t="shared" si="11"/>
        <v>7384220.7799999993</v>
      </c>
      <c r="Q31" s="33">
        <f t="shared" si="11"/>
        <v>0</v>
      </c>
      <c r="R31" s="33">
        <f t="shared" si="11"/>
        <v>2145598.2200000002</v>
      </c>
      <c r="S31" s="33">
        <f t="shared" si="11"/>
        <v>0</v>
      </c>
      <c r="T31" s="33">
        <f t="shared" si="11"/>
        <v>77766.039999999994</v>
      </c>
      <c r="U31" s="33">
        <f t="shared" si="11"/>
        <v>2223364.2600000002</v>
      </c>
      <c r="V31" s="33">
        <f t="shared" si="11"/>
        <v>9607585.040000001</v>
      </c>
      <c r="W31" s="33">
        <f t="shared" si="11"/>
        <v>40991009.880000003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12787500.85</v>
      </c>
      <c r="AC31" s="33">
        <f t="shared" si="11"/>
        <v>21542463.710000001</v>
      </c>
      <c r="AD31" s="33">
        <f t="shared" si="11"/>
        <v>0</v>
      </c>
      <c r="AE31" s="33">
        <f t="shared" si="11"/>
        <v>6661045.3200000003</v>
      </c>
      <c r="AF31" s="33">
        <f t="shared" si="11"/>
        <v>40991009.880000003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5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ht="6.75" customHeight="1">
      <c r="B34" s="136"/>
    </row>
    <row r="35" spans="1:34" ht="7.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</row>
    <row r="36" spans="1:34">
      <c r="A36" s="3"/>
      <c r="B36" s="28" t="s">
        <v>33</v>
      </c>
      <c r="C36" s="28"/>
      <c r="D36" s="16"/>
      <c r="E36" s="16"/>
      <c r="F36" s="16"/>
      <c r="G36" s="116" t="s">
        <v>230</v>
      </c>
      <c r="H36" s="116"/>
      <c r="I36" s="116"/>
      <c r="J36" s="134"/>
      <c r="K36" s="116" t="s">
        <v>232</v>
      </c>
      <c r="L36" s="116"/>
      <c r="M36" s="16"/>
      <c r="N36" s="161" t="s">
        <v>221</v>
      </c>
      <c r="T36" s="16"/>
      <c r="U36" s="16"/>
      <c r="V36" s="16"/>
      <c r="W36" s="176"/>
      <c r="X36" s="176"/>
      <c r="Y36" s="176"/>
      <c r="Z36" s="179"/>
      <c r="AA36" s="179"/>
      <c r="AB36" s="16"/>
      <c r="AC36" s="16"/>
      <c r="AE36" s="18"/>
    </row>
    <row r="37" spans="1:34" ht="18.75">
      <c r="A37" s="3"/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/>
      <c r="O37" s="16"/>
      <c r="P37" s="16"/>
      <c r="T37" s="16"/>
      <c r="U37" s="16"/>
      <c r="V37" s="16"/>
      <c r="W37" s="106"/>
      <c r="X37" s="22"/>
      <c r="Y37" s="22"/>
      <c r="Z37" s="22"/>
      <c r="AA37" s="22"/>
      <c r="AB37" s="22"/>
      <c r="AC37" s="22"/>
      <c r="AD37" s="43"/>
      <c r="AH37" s="18"/>
    </row>
    <row r="38" spans="1:34">
      <c r="A38" s="3"/>
      <c r="B38" s="16"/>
      <c r="C38" s="16"/>
      <c r="D38" s="16" t="s">
        <v>103</v>
      </c>
      <c r="E38" s="16"/>
      <c r="F38" s="16"/>
      <c r="G38" s="25"/>
      <c r="H38" s="22">
        <f>SUM(G39:G48)</f>
        <v>1002616240</v>
      </c>
      <c r="I38" s="22"/>
      <c r="J38" s="22"/>
      <c r="K38" s="59">
        <f>SUM(J39:J48)</f>
        <v>114382065</v>
      </c>
      <c r="L38" s="22"/>
      <c r="M38" s="22"/>
      <c r="N38" s="120">
        <f>SUM(M39:M48)</f>
        <v>1116998305</v>
      </c>
      <c r="O38" s="22"/>
      <c r="P38" s="59"/>
      <c r="Q38" s="20"/>
      <c r="R38" s="43"/>
      <c r="T38" s="16"/>
      <c r="U38" s="16"/>
      <c r="V38" s="25"/>
      <c r="W38" s="25"/>
      <c r="X38" s="22"/>
      <c r="Y38" s="22"/>
      <c r="Z38" s="22"/>
      <c r="AA38" s="22"/>
      <c r="AB38" s="22"/>
      <c r="AC38" s="22"/>
      <c r="AD38" s="43"/>
    </row>
    <row r="39" spans="1:34">
      <c r="A39" s="3"/>
      <c r="B39" s="16"/>
      <c r="C39" s="16"/>
      <c r="D39" s="121" t="s">
        <v>97</v>
      </c>
      <c r="E39" s="16"/>
      <c r="F39" s="16"/>
      <c r="G39" s="22">
        <v>711376000</v>
      </c>
      <c r="H39" s="22"/>
      <c r="I39" s="22"/>
      <c r="J39" s="40">
        <v>0</v>
      </c>
      <c r="K39" s="22"/>
      <c r="L39" s="22"/>
      <c r="M39" s="22">
        <f>89000000+93488000+163160000+120179000+128747000+116802000</f>
        <v>711376000</v>
      </c>
      <c r="N39" s="122"/>
      <c r="O39" s="22"/>
      <c r="P39" s="144" t="s">
        <v>228</v>
      </c>
      <c r="Q39" s="142"/>
      <c r="T39" s="16"/>
      <c r="U39" s="16"/>
      <c r="V39" s="25"/>
      <c r="W39" s="25"/>
      <c r="X39" s="51"/>
      <c r="Y39" s="51"/>
      <c r="Z39" s="51"/>
      <c r="AA39" s="51"/>
      <c r="AB39" s="51"/>
      <c r="AC39" s="51"/>
      <c r="AD39" s="19"/>
    </row>
    <row r="40" spans="1:34">
      <c r="A40" s="3"/>
      <c r="B40" s="16"/>
      <c r="C40" s="16"/>
      <c r="D40" s="121" t="s">
        <v>100</v>
      </c>
      <c r="E40" s="16"/>
      <c r="F40" s="16"/>
      <c r="G40" s="22">
        <v>12152000</v>
      </c>
      <c r="H40" s="22"/>
      <c r="I40" s="22"/>
      <c r="J40" s="22">
        <v>0</v>
      </c>
      <c r="K40" s="22"/>
      <c r="L40" s="22"/>
      <c r="M40" s="22">
        <f>2026000+2025000+2025000+2026000+2025000+2025000</f>
        <v>12152000</v>
      </c>
      <c r="N40" s="122"/>
      <c r="O40" s="22"/>
      <c r="P40" s="145" t="s">
        <v>201</v>
      </c>
      <c r="Q40" s="127">
        <f>+N38</f>
        <v>1116998305</v>
      </c>
      <c r="T40" t="s">
        <v>44</v>
      </c>
      <c r="V40" s="20"/>
      <c r="W40" s="20"/>
      <c r="X40" s="20"/>
      <c r="Y40" s="20"/>
      <c r="Z40" t="s">
        <v>47</v>
      </c>
      <c r="AA40" s="20"/>
      <c r="AB40" s="51"/>
      <c r="AC40" s="51"/>
      <c r="AD40" s="19"/>
    </row>
    <row r="41" spans="1:34">
      <c r="A41" s="3"/>
      <c r="B41" s="16"/>
      <c r="C41" s="16"/>
      <c r="D41" s="121" t="s">
        <v>167</v>
      </c>
      <c r="E41" s="16"/>
      <c r="F41" s="16"/>
      <c r="G41" s="22">
        <f>79358000+89441000+100687000</f>
        <v>269486000</v>
      </c>
      <c r="H41" s="22"/>
      <c r="I41" s="22"/>
      <c r="J41" s="22">
        <v>112077000</v>
      </c>
      <c r="K41" s="22"/>
      <c r="L41" s="22"/>
      <c r="M41" s="22">
        <f>79358000+89441000+100687000+112077000</f>
        <v>381563000</v>
      </c>
      <c r="N41" s="122"/>
      <c r="O41" s="22"/>
      <c r="P41" s="145" t="s">
        <v>36</v>
      </c>
      <c r="Q41" s="146">
        <f>+N50</f>
        <v>59026607.369999997</v>
      </c>
      <c r="V41" s="20"/>
      <c r="W41" s="20"/>
      <c r="X41" s="20"/>
      <c r="Y41" s="20"/>
      <c r="AA41" s="20"/>
      <c r="AB41" s="51"/>
      <c r="AC41" s="51"/>
      <c r="AD41" s="19"/>
    </row>
    <row r="42" spans="1:34">
      <c r="A42" s="3"/>
      <c r="B42" s="16"/>
      <c r="C42" s="16"/>
      <c r="D42" s="121" t="s">
        <v>168</v>
      </c>
      <c r="E42" s="16"/>
      <c r="F42" s="16"/>
      <c r="G42" s="22">
        <f>2026000+2026000+2025000</f>
        <v>6077000</v>
      </c>
      <c r="H42" s="22"/>
      <c r="I42" s="22"/>
      <c r="J42" s="22">
        <v>2026000</v>
      </c>
      <c r="K42" s="22"/>
      <c r="L42" s="22"/>
      <c r="M42" s="22">
        <f>2026000+2026000+2025000+2026000</f>
        <v>8103000</v>
      </c>
      <c r="N42" s="122"/>
      <c r="O42" s="22"/>
      <c r="P42" s="145"/>
      <c r="Q42" s="127">
        <f>+Q40+Q41</f>
        <v>1176024912.3699999</v>
      </c>
      <c r="V42" s="20"/>
      <c r="W42" s="20"/>
      <c r="X42" s="20"/>
      <c r="Y42" s="20"/>
      <c r="AA42" s="20"/>
      <c r="AB42" s="51"/>
      <c r="AC42" s="51"/>
      <c r="AD42" s="19"/>
    </row>
    <row r="43" spans="1:34">
      <c r="A43" s="3"/>
      <c r="B43" s="16"/>
      <c r="C43" s="16"/>
      <c r="D43" s="16" t="s">
        <v>104</v>
      </c>
      <c r="E43" s="16"/>
      <c r="F43" s="16"/>
      <c r="G43" s="22"/>
      <c r="H43" s="22"/>
      <c r="I43" s="22"/>
      <c r="J43" s="22">
        <v>0</v>
      </c>
      <c r="K43" s="22"/>
      <c r="L43" s="22"/>
      <c r="M43" s="22"/>
      <c r="N43" s="122"/>
      <c r="O43" s="22"/>
      <c r="P43" s="145" t="s">
        <v>202</v>
      </c>
      <c r="Q43" s="146">
        <f>+N60</f>
        <v>-676372394.57000005</v>
      </c>
      <c r="V43" s="20"/>
      <c r="W43" s="20"/>
      <c r="X43" s="20"/>
      <c r="Y43" s="20"/>
      <c r="AA43" s="20"/>
      <c r="AB43" s="31"/>
      <c r="AC43" s="51"/>
      <c r="AD43" s="19"/>
    </row>
    <row r="44" spans="1:34" ht="15.75" thickBot="1">
      <c r="A44" s="3"/>
      <c r="B44" s="16"/>
      <c r="C44" s="16"/>
      <c r="D44" s="121" t="s">
        <v>105</v>
      </c>
      <c r="E44" s="16"/>
      <c r="F44" s="16"/>
      <c r="G44" s="22">
        <f>94823+94698</f>
        <v>189521</v>
      </c>
      <c r="H44" s="22"/>
      <c r="I44" s="22"/>
      <c r="J44" s="22">
        <v>0</v>
      </c>
      <c r="K44" s="22"/>
      <c r="L44" s="22"/>
      <c r="M44" s="22">
        <f>94823+94698</f>
        <v>189521</v>
      </c>
      <c r="N44" s="122"/>
      <c r="O44" s="22"/>
      <c r="P44" s="145" t="s">
        <v>204</v>
      </c>
      <c r="Q44" s="147">
        <f>+Q42+Q43</f>
        <v>499652517.79999983</v>
      </c>
      <c r="T44" s="38" t="s">
        <v>49</v>
      </c>
      <c r="V44" s="19"/>
      <c r="W44" s="19"/>
      <c r="X44" s="19"/>
      <c r="Z44" s="38" t="s">
        <v>72</v>
      </c>
      <c r="AB44" s="31"/>
      <c r="AC44" s="51"/>
      <c r="AD44" s="19"/>
    </row>
    <row r="45" spans="1:34">
      <c r="A45" s="3"/>
      <c r="B45" s="16"/>
      <c r="C45" s="16"/>
      <c r="D45" s="121" t="s">
        <v>129</v>
      </c>
      <c r="E45" s="16"/>
      <c r="F45" s="16"/>
      <c r="G45" s="22">
        <v>85598</v>
      </c>
      <c r="H45" s="22"/>
      <c r="I45" s="22"/>
      <c r="J45" s="22">
        <v>0</v>
      </c>
      <c r="K45" s="22"/>
      <c r="L45" s="22"/>
      <c r="M45" s="22">
        <v>85598</v>
      </c>
      <c r="N45" s="122"/>
      <c r="O45" s="22"/>
      <c r="P45" s="143"/>
      <c r="Q45" s="123"/>
      <c r="T45" t="s">
        <v>46</v>
      </c>
      <c r="V45" s="19"/>
      <c r="W45" s="19"/>
      <c r="X45" s="19"/>
      <c r="Z45" t="s">
        <v>71</v>
      </c>
      <c r="AB45" s="31"/>
      <c r="AC45" s="51"/>
      <c r="AD45" s="19"/>
    </row>
    <row r="46" spans="1:34">
      <c r="A46" s="3"/>
      <c r="B46" s="16"/>
      <c r="C46" s="16"/>
      <c r="D46" s="121" t="s">
        <v>130</v>
      </c>
      <c r="E46" s="16"/>
      <c r="F46" s="16"/>
      <c r="G46" s="22">
        <v>670162</v>
      </c>
      <c r="H46" s="22"/>
      <c r="I46" s="22"/>
      <c r="J46" s="22">
        <v>0</v>
      </c>
      <c r="K46" s="22"/>
      <c r="L46" s="22"/>
      <c r="M46" s="22">
        <v>670162</v>
      </c>
      <c r="N46" s="122"/>
      <c r="O46" s="22"/>
      <c r="P46" s="22"/>
      <c r="Q46" s="20"/>
      <c r="T46" t="s">
        <v>45</v>
      </c>
      <c r="V46" s="19"/>
      <c r="W46" s="19"/>
      <c r="X46" s="19"/>
      <c r="Z46" t="s">
        <v>48</v>
      </c>
      <c r="AB46" s="31"/>
      <c r="AC46" s="51"/>
      <c r="AD46" s="19"/>
    </row>
    <row r="47" spans="1:34">
      <c r="A47" s="3"/>
      <c r="B47" s="16"/>
      <c r="C47" s="16"/>
      <c r="D47" s="121" t="s">
        <v>155</v>
      </c>
      <c r="E47" s="16"/>
      <c r="F47" s="16"/>
      <c r="G47" s="22">
        <v>2579959</v>
      </c>
      <c r="H47" s="22"/>
      <c r="I47" s="22"/>
      <c r="J47" s="22">
        <v>0</v>
      </c>
      <c r="K47" s="22"/>
      <c r="L47" s="22"/>
      <c r="M47" s="22">
        <v>2579959</v>
      </c>
      <c r="N47" s="122"/>
      <c r="O47" s="22"/>
      <c r="P47" s="22"/>
      <c r="Q47" s="20"/>
      <c r="V47" s="19"/>
      <c r="W47" s="19"/>
      <c r="X47" s="19"/>
      <c r="AB47" s="31"/>
      <c r="AC47" s="51"/>
      <c r="AD47" s="19"/>
    </row>
    <row r="48" spans="1:34">
      <c r="A48" s="3"/>
      <c r="B48" s="16"/>
      <c r="C48" s="16"/>
      <c r="D48" s="121" t="s">
        <v>231</v>
      </c>
      <c r="E48" s="16"/>
      <c r="F48" s="16"/>
      <c r="G48" s="21">
        <v>0</v>
      </c>
      <c r="H48" s="22"/>
      <c r="I48" s="22"/>
      <c r="J48" s="163">
        <v>279065</v>
      </c>
      <c r="K48" s="22"/>
      <c r="L48" s="22"/>
      <c r="M48" s="21">
        <v>279065</v>
      </c>
      <c r="N48" s="122"/>
      <c r="O48" s="22"/>
      <c r="P48" s="22"/>
      <c r="Q48" s="20"/>
      <c r="V48" s="19"/>
      <c r="W48" s="19"/>
      <c r="X48" s="19"/>
      <c r="AB48" s="31"/>
      <c r="AC48" s="51"/>
      <c r="AD48" s="19"/>
    </row>
    <row r="49" spans="1:32">
      <c r="A49" s="3"/>
      <c r="B49" s="16"/>
      <c r="C49" s="16"/>
      <c r="D49" s="16" t="s">
        <v>35</v>
      </c>
      <c r="E49" s="16"/>
      <c r="F49" s="16"/>
      <c r="G49" s="22"/>
      <c r="H49" s="22">
        <v>0</v>
      </c>
      <c r="I49" s="22"/>
      <c r="J49" s="22"/>
      <c r="K49" s="22">
        <v>0</v>
      </c>
      <c r="L49" s="22"/>
      <c r="M49" s="22"/>
      <c r="N49" s="122"/>
      <c r="O49" s="22"/>
      <c r="P49" s="22"/>
      <c r="Q49" s="20"/>
      <c r="V49" s="19"/>
      <c r="W49" s="19"/>
      <c r="X49" s="19"/>
      <c r="Z49" t="s">
        <v>45</v>
      </c>
      <c r="AB49" s="31"/>
      <c r="AC49" s="22"/>
      <c r="AD49" s="25"/>
      <c r="AE49" s="16"/>
      <c r="AF49" s="16"/>
    </row>
    <row r="50" spans="1:32">
      <c r="A50" s="3"/>
      <c r="B50" s="16"/>
      <c r="C50" s="16"/>
      <c r="D50" s="16" t="s">
        <v>36</v>
      </c>
      <c r="E50" s="16"/>
      <c r="F50" s="16"/>
      <c r="G50" s="25"/>
      <c r="H50" s="22">
        <f>21817245.73+6579604.91+4439371.24+5090156.83+8408763.85+6686363.94</f>
        <v>53021506.5</v>
      </c>
      <c r="I50" s="22"/>
      <c r="J50" s="22"/>
      <c r="K50" s="59">
        <f>+AF23</f>
        <v>6005100.8700000001</v>
      </c>
      <c r="L50" s="22"/>
      <c r="M50" s="22"/>
      <c r="N50" s="122">
        <f>6514818+3759574.58+7395098.56+4147754.59+6579604.91+4439371.24+5090156.83+8408763.85+6686363.94+6005100.87</f>
        <v>59026607.369999997</v>
      </c>
      <c r="O50" s="22"/>
      <c r="P50" s="22"/>
      <c r="Q50" s="20"/>
      <c r="R50" s="18"/>
      <c r="V50" s="19"/>
      <c r="W50" s="19"/>
      <c r="X50" s="51"/>
      <c r="Y50" s="31"/>
      <c r="Z50" s="31"/>
      <c r="AA50" s="51"/>
      <c r="AB50" s="31"/>
      <c r="AC50" s="51"/>
      <c r="AD50" s="25"/>
      <c r="AE50" s="16"/>
      <c r="AF50" s="16"/>
    </row>
    <row r="51" spans="1:32">
      <c r="A51" s="3"/>
      <c r="B51" s="16"/>
      <c r="C51" s="16"/>
      <c r="D51" s="16" t="s">
        <v>37</v>
      </c>
      <c r="E51" s="16"/>
      <c r="F51" s="16"/>
      <c r="G51" s="25"/>
      <c r="H51" s="22">
        <v>0</v>
      </c>
      <c r="I51" s="22"/>
      <c r="J51" s="22"/>
      <c r="K51" s="22">
        <v>0</v>
      </c>
      <c r="L51" s="22"/>
      <c r="M51" s="22"/>
      <c r="N51" s="122"/>
      <c r="O51" s="22"/>
      <c r="P51" s="22"/>
      <c r="Q51" s="20"/>
      <c r="V51" s="19"/>
      <c r="W51" s="19"/>
      <c r="X51" s="22"/>
      <c r="Y51" s="20"/>
      <c r="Z51" s="20"/>
      <c r="AA51" s="20"/>
      <c r="AB51" s="20"/>
      <c r="AC51" s="22"/>
      <c r="AD51" s="25"/>
      <c r="AE51" s="16"/>
      <c r="AF51" s="16"/>
    </row>
    <row r="52" spans="1:32" ht="14.25" customHeight="1">
      <c r="A52" s="3"/>
      <c r="B52" s="16"/>
      <c r="C52" s="16"/>
      <c r="D52" s="16" t="s">
        <v>38</v>
      </c>
      <c r="E52" s="16"/>
      <c r="F52" s="16"/>
      <c r="G52" s="25"/>
      <c r="H52" s="22">
        <v>0</v>
      </c>
      <c r="I52" s="22"/>
      <c r="J52" s="22"/>
      <c r="K52" s="22">
        <v>0</v>
      </c>
      <c r="L52" s="22"/>
      <c r="M52" s="22"/>
      <c r="N52" s="122"/>
      <c r="O52" s="22"/>
      <c r="P52" s="22"/>
      <c r="Q52" s="20"/>
      <c r="S52" s="39"/>
      <c r="T52" s="39"/>
      <c r="V52" s="19"/>
      <c r="W52" s="19"/>
      <c r="X52" s="22"/>
      <c r="Y52" s="20"/>
      <c r="Z52" s="20"/>
      <c r="AA52" s="20"/>
      <c r="AB52" s="20"/>
      <c r="AC52" s="22"/>
      <c r="AD52" s="25"/>
      <c r="AE52" s="16"/>
      <c r="AF52" s="16"/>
    </row>
    <row r="53" spans="1:32" ht="13.5" customHeight="1">
      <c r="A53" s="3"/>
      <c r="B53" s="16"/>
      <c r="C53" s="16"/>
      <c r="D53" s="15" t="s">
        <v>39</v>
      </c>
      <c r="E53" s="16"/>
      <c r="F53" s="16"/>
      <c r="G53" s="25"/>
      <c r="H53" s="21">
        <v>0</v>
      </c>
      <c r="I53" s="22"/>
      <c r="J53" s="22"/>
      <c r="K53" s="21">
        <v>0</v>
      </c>
      <c r="L53" s="22"/>
      <c r="M53" s="22"/>
      <c r="N53" s="123"/>
      <c r="O53" s="22"/>
      <c r="P53" s="22"/>
      <c r="Q53" s="20"/>
      <c r="S53" s="39"/>
      <c r="T53" s="39"/>
      <c r="V53" s="19"/>
      <c r="W53" s="19"/>
      <c r="X53" s="22"/>
      <c r="Y53" s="20"/>
      <c r="Z53" s="20"/>
      <c r="AA53" s="20"/>
      <c r="AB53" s="20"/>
      <c r="AC53" s="22"/>
      <c r="AD53" s="25"/>
      <c r="AE53" s="16"/>
      <c r="AF53" s="16"/>
    </row>
    <row r="54" spans="1:32" ht="13.5" customHeight="1">
      <c r="A54" s="3"/>
      <c r="B54" s="16"/>
      <c r="C54" s="16"/>
      <c r="D54" s="16" t="s">
        <v>57</v>
      </c>
      <c r="E54" s="16"/>
      <c r="F54" s="16"/>
      <c r="G54" s="25"/>
      <c r="H54" s="22">
        <f>SUM(H38:H53)</f>
        <v>1055637746.5</v>
      </c>
      <c r="I54" s="22"/>
      <c r="J54" s="22"/>
      <c r="K54" s="22">
        <f>SUM(K38:K53)</f>
        <v>120387165.87</v>
      </c>
      <c r="L54" s="22"/>
      <c r="M54" s="22"/>
      <c r="N54" s="122">
        <f>SUM(N38:N53)</f>
        <v>1176024912.3699999</v>
      </c>
      <c r="O54" s="22"/>
      <c r="P54" s="22"/>
      <c r="Q54" s="20"/>
      <c r="R54" s="43"/>
      <c r="S54" s="39"/>
      <c r="T54" s="65"/>
      <c r="U54" s="65"/>
      <c r="V54" s="25"/>
      <c r="W54" s="25"/>
      <c r="X54" s="25"/>
      <c r="Y54" s="20"/>
      <c r="Z54" s="20"/>
      <c r="AA54" s="20"/>
      <c r="AB54" s="20"/>
      <c r="AC54" s="22"/>
      <c r="AD54" s="25"/>
      <c r="AE54" s="16"/>
      <c r="AF54" s="16"/>
    </row>
    <row r="55" spans="1:32">
      <c r="A55" s="3"/>
      <c r="B55" s="16" t="s">
        <v>40</v>
      </c>
      <c r="C55" s="16"/>
      <c r="D55" s="16"/>
      <c r="E55" s="16"/>
      <c r="F55" s="16"/>
      <c r="G55" s="25"/>
      <c r="H55" s="21">
        <v>0</v>
      </c>
      <c r="I55" s="22"/>
      <c r="J55" s="22"/>
      <c r="K55" s="21">
        <v>0</v>
      </c>
      <c r="L55" s="22"/>
      <c r="M55" s="22"/>
      <c r="N55" s="123">
        <v>0</v>
      </c>
      <c r="O55" s="22"/>
      <c r="P55" s="22"/>
      <c r="Q55" s="20"/>
      <c r="S55" s="54"/>
      <c r="T55" s="54"/>
      <c r="U55" s="54"/>
      <c r="V55" s="55"/>
      <c r="W55" s="55"/>
      <c r="X55" s="55"/>
      <c r="Y55" s="22"/>
      <c r="Z55" s="22"/>
      <c r="AA55" s="22"/>
      <c r="AB55" s="22"/>
      <c r="AC55" s="51"/>
      <c r="AD55" s="25"/>
      <c r="AE55" s="16"/>
      <c r="AF55" s="16"/>
    </row>
    <row r="56" spans="1:32" ht="15" customHeight="1">
      <c r="A56" s="3"/>
      <c r="B56" s="28" t="s">
        <v>41</v>
      </c>
      <c r="C56" s="28"/>
      <c r="D56" s="16"/>
      <c r="E56" s="16"/>
      <c r="F56" s="16"/>
      <c r="G56" s="25"/>
      <c r="H56" s="22">
        <f>+H54-H55</f>
        <v>1055637746.5</v>
      </c>
      <c r="I56" s="22"/>
      <c r="J56" s="22"/>
      <c r="K56" s="22">
        <f>+K54-K55</f>
        <v>120387165.87</v>
      </c>
      <c r="L56" s="22"/>
      <c r="M56" s="22"/>
      <c r="N56" s="122">
        <f>+N54-N55</f>
        <v>1176024912.3699999</v>
      </c>
      <c r="O56" s="22"/>
      <c r="P56" s="22"/>
      <c r="Q56" s="20"/>
      <c r="R56" s="43"/>
      <c r="S56" s="56"/>
      <c r="T56" s="60"/>
      <c r="U56" s="61"/>
      <c r="V56" s="61"/>
      <c r="W56" s="61"/>
      <c r="X56" s="55"/>
      <c r="Y56" s="20"/>
      <c r="Z56" s="20"/>
      <c r="AA56" s="20"/>
      <c r="AB56" s="20"/>
      <c r="AC56" s="22"/>
      <c r="AD56" s="25"/>
      <c r="AE56" s="16"/>
      <c r="AF56" s="16"/>
    </row>
    <row r="57" spans="1:32" ht="15" customHeight="1">
      <c r="A57" s="3"/>
      <c r="B57" s="16" t="s">
        <v>56</v>
      </c>
      <c r="C57" s="16"/>
      <c r="D57" s="16" t="s">
        <v>163</v>
      </c>
      <c r="E57" s="16"/>
      <c r="F57" s="16"/>
      <c r="G57" s="25"/>
      <c r="H57" s="22">
        <f>-0.04-209773795.28-0.97-1.45</f>
        <v>-209773797.73999998</v>
      </c>
      <c r="I57" s="22"/>
      <c r="J57" s="22"/>
      <c r="K57" s="22">
        <v>0</v>
      </c>
      <c r="L57" s="22"/>
      <c r="M57" s="22"/>
      <c r="N57" s="122">
        <f>-0.04-209773795.28-0.97-1.45</f>
        <v>-209773797.73999998</v>
      </c>
      <c r="O57" s="22"/>
      <c r="P57" s="22"/>
      <c r="Q57" s="20"/>
      <c r="S57" s="56"/>
      <c r="T57" s="60"/>
      <c r="U57" s="61"/>
      <c r="V57" s="61"/>
      <c r="W57" s="61"/>
      <c r="X57" s="55"/>
      <c r="Y57" s="20"/>
      <c r="Z57" s="20"/>
      <c r="AA57" s="20"/>
      <c r="AB57" s="20"/>
      <c r="AC57" s="22"/>
      <c r="AD57" s="25"/>
      <c r="AE57" s="16"/>
      <c r="AF57" s="16"/>
    </row>
    <row r="58" spans="1:32" ht="15" customHeight="1">
      <c r="A58" s="3"/>
      <c r="B58" s="16"/>
      <c r="C58" s="16"/>
      <c r="D58" s="16" t="s">
        <v>164</v>
      </c>
      <c r="E58" s="16"/>
      <c r="F58" s="16"/>
      <c r="G58" s="25"/>
      <c r="H58" s="22">
        <v>-118987443.34999999</v>
      </c>
      <c r="I58" s="22"/>
      <c r="J58" s="22"/>
      <c r="K58" s="22">
        <v>0</v>
      </c>
      <c r="L58" s="22"/>
      <c r="M58" s="22"/>
      <c r="N58" s="122">
        <v>-118987443.34999999</v>
      </c>
      <c r="O58" s="22"/>
      <c r="P58" s="22"/>
      <c r="Q58" s="20"/>
      <c r="S58" s="56"/>
      <c r="T58" s="60"/>
      <c r="U58" s="61"/>
      <c r="V58" s="61"/>
      <c r="W58" s="61"/>
      <c r="X58" s="55"/>
      <c r="Y58" s="20"/>
      <c r="Z58" s="20"/>
      <c r="AA58" s="20"/>
      <c r="AB58" s="20"/>
      <c r="AC58" s="22"/>
      <c r="AD58" s="25"/>
      <c r="AE58" s="16"/>
      <c r="AF58" s="16"/>
    </row>
    <row r="59" spans="1:32" ht="15" customHeight="1">
      <c r="A59" s="3"/>
      <c r="B59" s="16"/>
      <c r="C59" s="16"/>
      <c r="D59" s="16" t="s">
        <v>200</v>
      </c>
      <c r="E59" s="16"/>
      <c r="F59" s="16"/>
      <c r="G59" s="25"/>
      <c r="H59" s="22">
        <f>-91490030.72-5090</f>
        <v>-91495120.719999999</v>
      </c>
      <c r="I59" s="22"/>
      <c r="J59" s="22"/>
      <c r="K59" s="22">
        <v>0</v>
      </c>
      <c r="L59" s="22"/>
      <c r="M59" s="22"/>
      <c r="N59" s="122">
        <f>-91490030.72-5090</f>
        <v>-91495120.719999999</v>
      </c>
      <c r="O59" s="22"/>
      <c r="P59" s="22"/>
      <c r="Q59" s="20"/>
      <c r="S59" s="56"/>
      <c r="T59" s="60"/>
      <c r="U59" s="61"/>
      <c r="V59" s="61"/>
      <c r="W59" s="61"/>
      <c r="X59" s="55"/>
      <c r="Y59" s="20"/>
      <c r="Z59" s="20"/>
      <c r="AA59" s="20"/>
      <c r="AB59" s="20"/>
      <c r="AC59" s="22"/>
      <c r="AD59" s="25"/>
      <c r="AE59" s="16"/>
      <c r="AF59" s="16"/>
    </row>
    <row r="60" spans="1:32" ht="16.5" customHeight="1">
      <c r="A60" s="3"/>
      <c r="B60" s="16"/>
      <c r="C60" s="16"/>
      <c r="D60" s="16" t="s">
        <v>75</v>
      </c>
      <c r="E60" s="16"/>
      <c r="F60" s="16"/>
      <c r="G60" s="25"/>
      <c r="H60" s="22">
        <f>-459395578.34+2329.06+10762.5-62226344.04-113777643.87+5090</f>
        <v>-635381384.69000006</v>
      </c>
      <c r="I60" s="22"/>
      <c r="J60" s="22">
        <f>+H60+H50</f>
        <v>-582359878.19000006</v>
      </c>
      <c r="K60" s="22">
        <f>-AF31</f>
        <v>-40991009.880000003</v>
      </c>
      <c r="L60" s="22">
        <f>+K60+K50</f>
        <v>-34985909.010000005</v>
      </c>
      <c r="M60" s="22"/>
      <c r="N60" s="122">
        <f>-41435530.02-30432815.6-88102173.2+256000-29927199.49-97107198.84-141799344.64-(30847316.55-2329.06-10762.5)-62226344.04-113777643.87+5090-40991009.88</f>
        <v>-676372394.57000005</v>
      </c>
      <c r="O60" s="22">
        <f>+J60+L60</f>
        <v>-617345787.20000005</v>
      </c>
      <c r="P60" s="22"/>
      <c r="Q60" s="22"/>
      <c r="R60" s="43"/>
      <c r="S60" s="57"/>
      <c r="T60" s="61"/>
      <c r="U60" s="61"/>
      <c r="V60" s="40"/>
      <c r="W60" s="40"/>
      <c r="X60" s="55"/>
      <c r="Y60" s="20"/>
      <c r="Z60" s="20"/>
      <c r="AA60" s="20"/>
      <c r="AB60" s="20"/>
      <c r="AC60" s="22"/>
      <c r="AD60" s="25"/>
      <c r="AE60" s="16"/>
      <c r="AF60" s="16"/>
    </row>
    <row r="61" spans="1:32" ht="13.5" customHeight="1">
      <c r="A61" s="3"/>
      <c r="B61" s="28" t="s">
        <v>61</v>
      </c>
      <c r="C61" s="28"/>
      <c r="D61" s="28"/>
      <c r="E61" s="28"/>
      <c r="F61" s="28"/>
      <c r="G61" s="124"/>
      <c r="H61" s="105">
        <f>SUM(H56:H60)</f>
        <v>0</v>
      </c>
      <c r="I61" s="34"/>
      <c r="J61" s="34"/>
      <c r="K61" s="105">
        <f>SUM(K56:K60)</f>
        <v>79396155.99000001</v>
      </c>
      <c r="L61" s="34"/>
      <c r="M61" s="51"/>
      <c r="N61" s="125">
        <f>SUM(N56:N60)</f>
        <v>79396155.989999771</v>
      </c>
      <c r="O61" s="22">
        <f>+N60+N50</f>
        <v>-617345787.20000005</v>
      </c>
      <c r="P61" s="34"/>
      <c r="Q61" s="20"/>
      <c r="R61" s="18"/>
      <c r="S61" s="57"/>
      <c r="T61" s="61"/>
      <c r="U61" s="61"/>
      <c r="V61" s="40"/>
      <c r="W61" s="40"/>
      <c r="X61" s="55"/>
      <c r="AC61" s="18"/>
    </row>
    <row r="62" spans="1:32" ht="11.25" customHeight="1">
      <c r="A62" s="3"/>
      <c r="B62" s="28"/>
      <c r="C62" s="28"/>
      <c r="D62" s="28"/>
      <c r="E62" s="28"/>
      <c r="F62" s="28"/>
      <c r="G62" s="124"/>
      <c r="H62" s="34"/>
      <c r="I62" s="34"/>
      <c r="J62" s="34"/>
      <c r="K62" s="34"/>
      <c r="L62" s="34"/>
      <c r="M62" s="51"/>
      <c r="N62" s="128"/>
      <c r="O62" s="22"/>
      <c r="P62" s="34"/>
      <c r="Q62" s="20"/>
      <c r="R62" s="18"/>
      <c r="S62" s="57"/>
      <c r="T62" s="61"/>
      <c r="U62" s="61"/>
      <c r="V62" s="40"/>
      <c r="W62" s="40"/>
      <c r="X62" s="55"/>
      <c r="AC62" s="18"/>
    </row>
    <row r="63" spans="1:32" ht="13.5" customHeight="1">
      <c r="A63" s="3"/>
      <c r="B63" s="28" t="s">
        <v>74</v>
      </c>
      <c r="C63" s="28"/>
      <c r="D63" s="28"/>
      <c r="E63" s="28"/>
      <c r="F63" s="28"/>
      <c r="G63" s="124"/>
      <c r="H63" s="34">
        <f>101246000+101587000+174589000+131372000+139608000+137278000+137295000+156633000+168315000</f>
        <v>1247923000</v>
      </c>
      <c r="I63" s="34"/>
      <c r="J63" s="34"/>
      <c r="K63" s="118">
        <v>393798000</v>
      </c>
      <c r="L63" s="118"/>
      <c r="M63" s="119"/>
      <c r="N63" s="126">
        <f>101246000+101587000+174589000+131372000+139608000+137278000+137295000+156633000+168315000+393798000</f>
        <v>1641721000</v>
      </c>
      <c r="O63" s="22"/>
      <c r="P63" s="119"/>
      <c r="Q63" s="20"/>
      <c r="R63" s="18"/>
      <c r="S63" s="57"/>
      <c r="T63" s="61"/>
      <c r="U63" s="61"/>
      <c r="V63" s="40"/>
      <c r="W63" s="40"/>
      <c r="X63" s="55"/>
      <c r="AC63" s="18"/>
    </row>
    <row r="64" spans="1:32" ht="13.5" customHeight="1">
      <c r="A64" s="3"/>
      <c r="B64" s="16" t="s">
        <v>99</v>
      </c>
      <c r="C64" s="28"/>
      <c r="D64" s="28"/>
      <c r="E64" s="28"/>
      <c r="F64" s="28"/>
      <c r="G64" s="124"/>
      <c r="H64" s="107">
        <f>+H60</f>
        <v>-635381384.69000006</v>
      </c>
      <c r="I64" s="107"/>
      <c r="J64" s="107"/>
      <c r="K64" s="140">
        <f>+K60</f>
        <v>-40991009.880000003</v>
      </c>
      <c r="L64" s="107"/>
      <c r="M64" s="22"/>
      <c r="N64" s="127">
        <f>+N60</f>
        <v>-676372394.57000005</v>
      </c>
      <c r="O64" s="22"/>
      <c r="P64" s="107"/>
      <c r="Q64" s="20"/>
      <c r="S64" s="57"/>
      <c r="T64" s="61"/>
      <c r="U64" s="61"/>
      <c r="V64" s="40"/>
      <c r="W64" s="40"/>
      <c r="X64" s="55"/>
      <c r="AC64" s="18"/>
    </row>
    <row r="65" spans="1:29" ht="13.5" customHeight="1">
      <c r="A65" s="3"/>
      <c r="B65" s="28" t="s">
        <v>43</v>
      </c>
      <c r="C65" s="28"/>
      <c r="D65" s="28"/>
      <c r="E65" s="28"/>
      <c r="F65" s="28"/>
      <c r="G65" s="124"/>
      <c r="H65" s="105">
        <f>+H63+H64</f>
        <v>612541615.30999994</v>
      </c>
      <c r="I65" s="34"/>
      <c r="J65" s="34"/>
      <c r="K65" s="141">
        <f>+K63+K64</f>
        <v>352806990.12</v>
      </c>
      <c r="L65" s="34"/>
      <c r="M65" s="34"/>
      <c r="N65" s="125">
        <f>+N63+N64:N64</f>
        <v>965348605.42999995</v>
      </c>
      <c r="O65" s="22"/>
      <c r="P65" s="34"/>
      <c r="Q65" s="20"/>
      <c r="S65" s="57"/>
      <c r="T65" s="61"/>
      <c r="U65" s="61"/>
      <c r="V65" s="40"/>
      <c r="W65" s="40"/>
      <c r="X65" s="55"/>
      <c r="AC65" s="18"/>
    </row>
    <row r="66" spans="1:29" ht="13.5" customHeight="1">
      <c r="A66" s="3"/>
      <c r="B66" s="121" t="s">
        <v>42</v>
      </c>
      <c r="C66" s="121"/>
      <c r="D66" s="16"/>
      <c r="E66" s="28"/>
      <c r="F66" s="28"/>
      <c r="G66" s="124"/>
      <c r="H66" s="34"/>
      <c r="I66" s="34"/>
      <c r="J66" s="34"/>
      <c r="K66" s="34"/>
      <c r="L66" s="34"/>
      <c r="M66" s="34"/>
      <c r="N66" s="128"/>
      <c r="O66" s="34"/>
      <c r="P66" s="51"/>
      <c r="Q66" s="20"/>
      <c r="S66" s="57"/>
      <c r="T66" s="61"/>
      <c r="U66" s="61"/>
      <c r="V66" s="40"/>
      <c r="W66" s="40"/>
      <c r="X66" s="55"/>
      <c r="AC66" s="18"/>
    </row>
    <row r="67" spans="1:29" ht="13.5" customHeight="1">
      <c r="A67" s="3"/>
      <c r="B67" s="121" t="s">
        <v>73</v>
      </c>
      <c r="C67" s="121"/>
      <c r="D67" s="16"/>
      <c r="E67" s="28"/>
      <c r="F67" s="28"/>
      <c r="G67" s="124"/>
      <c r="H67" s="34"/>
      <c r="I67" s="34"/>
      <c r="J67" s="34"/>
      <c r="K67" s="34"/>
      <c r="L67" s="34"/>
      <c r="M67" s="34"/>
      <c r="N67" s="128"/>
      <c r="O67" s="34"/>
      <c r="P67" s="34"/>
      <c r="S67" s="57"/>
      <c r="T67" s="61"/>
      <c r="U67" s="61"/>
      <c r="V67" s="40"/>
      <c r="W67" s="40"/>
      <c r="X67" s="45"/>
      <c r="AC67" s="18"/>
    </row>
    <row r="68" spans="1:29" ht="13.5" customHeight="1">
      <c r="A68" s="5"/>
      <c r="B68" s="129"/>
      <c r="C68" s="129" t="s">
        <v>102</v>
      </c>
      <c r="D68" s="15"/>
      <c r="E68" s="130"/>
      <c r="F68" s="130"/>
      <c r="G68" s="131"/>
      <c r="H68" s="132"/>
      <c r="I68" s="132"/>
      <c r="J68" s="132"/>
      <c r="K68" s="132"/>
      <c r="L68" s="132"/>
      <c r="M68" s="132"/>
      <c r="N68" s="133"/>
      <c r="O68" s="16"/>
      <c r="P68" s="16"/>
      <c r="S68" s="57"/>
      <c r="T68" s="61"/>
      <c r="U68" s="61"/>
      <c r="V68" s="40"/>
      <c r="W68" s="40"/>
      <c r="X68" s="45"/>
      <c r="AC68" s="18"/>
    </row>
    <row r="69" spans="1:29" ht="15" customHeight="1">
      <c r="B69" s="26"/>
      <c r="C69" s="26"/>
      <c r="H69" s="20"/>
      <c r="I69" s="20"/>
      <c r="J69" s="20"/>
      <c r="K69" s="20"/>
      <c r="M69" s="20"/>
      <c r="N69" s="20"/>
      <c r="O69" s="134"/>
      <c r="P69" s="16"/>
      <c r="S69" s="56"/>
      <c r="T69" s="60"/>
      <c r="U69" s="61"/>
      <c r="V69" s="40"/>
      <c r="W69" s="63"/>
      <c r="X69" s="45"/>
    </row>
    <row r="70" spans="1:29" ht="15" customHeight="1">
      <c r="B70" s="26"/>
      <c r="C70" s="26"/>
      <c r="D70" s="26"/>
      <c r="H70" s="20"/>
      <c r="I70" s="20"/>
      <c r="J70" s="20"/>
      <c r="K70" s="20"/>
      <c r="M70" s="20"/>
      <c r="N70" s="20"/>
      <c r="O70" s="43"/>
      <c r="S70" s="56"/>
      <c r="T70" s="61"/>
      <c r="U70" s="61"/>
      <c r="V70" s="40"/>
      <c r="W70" s="40"/>
      <c r="X70" s="45"/>
    </row>
    <row r="71" spans="1:29" ht="15" customHeight="1">
      <c r="B71" s="16"/>
      <c r="C71" s="16"/>
      <c r="D71" s="16"/>
      <c r="E71" s="16"/>
      <c r="F71" s="38"/>
      <c r="K71" s="20"/>
      <c r="L71" s="38"/>
      <c r="N71" s="22"/>
      <c r="O71" s="18"/>
      <c r="P71" s="18"/>
      <c r="S71" s="56"/>
      <c r="T71" s="60"/>
      <c r="U71" s="61"/>
      <c r="V71" s="62"/>
      <c r="W71" s="61"/>
      <c r="X71" s="45"/>
    </row>
    <row r="72" spans="1:29" ht="15" customHeight="1">
      <c r="B72" s="28"/>
      <c r="C72" s="28"/>
      <c r="D72" s="16"/>
      <c r="E72" s="16"/>
      <c r="K72" s="20"/>
      <c r="N72" s="51"/>
      <c r="S72" s="57"/>
      <c r="T72" s="61"/>
      <c r="U72" s="61"/>
      <c r="V72" s="40"/>
      <c r="W72" s="40"/>
      <c r="X72" s="45"/>
    </row>
    <row r="73" spans="1:29">
      <c r="K73" s="20"/>
      <c r="N73" s="22"/>
      <c r="S73" s="57"/>
      <c r="T73" s="61"/>
      <c r="U73" s="61"/>
      <c r="V73" s="40"/>
      <c r="W73" s="40"/>
      <c r="X73" s="16"/>
    </row>
    <row r="74" spans="1:29">
      <c r="K74" s="20"/>
      <c r="N74" s="22"/>
      <c r="S74" s="57"/>
      <c r="T74" s="57"/>
      <c r="U74" s="57"/>
      <c r="V74" s="40"/>
      <c r="W74" s="50"/>
    </row>
    <row r="75" spans="1:29">
      <c r="K75" s="20"/>
      <c r="S75" s="56"/>
      <c r="T75" s="56"/>
      <c r="U75" s="57"/>
      <c r="V75" s="62"/>
      <c r="W75" s="57"/>
    </row>
    <row r="76" spans="1:29">
      <c r="K76" s="20"/>
      <c r="M76" s="22"/>
      <c r="N76" s="59"/>
      <c r="S76" s="26"/>
    </row>
    <row r="77" spans="1:29">
      <c r="K77" s="20"/>
      <c r="M77" s="22"/>
      <c r="N77" s="22"/>
    </row>
    <row r="78" spans="1:29">
      <c r="K78" s="20"/>
      <c r="M78" s="22"/>
      <c r="N78" s="22"/>
      <c r="T78" s="39" t="s">
        <v>78</v>
      </c>
      <c r="U78" s="39"/>
      <c r="X78" s="19"/>
      <c r="Y78" s="18"/>
    </row>
    <row r="79" spans="1:29">
      <c r="K79" s="43"/>
      <c r="M79" s="22"/>
      <c r="N79" s="22"/>
      <c r="T79" s="54" t="s">
        <v>64</v>
      </c>
      <c r="U79" s="54"/>
      <c r="V79" s="45"/>
      <c r="W79" s="45"/>
      <c r="X79" s="55"/>
    </row>
    <row r="80" spans="1:29">
      <c r="K80" s="19"/>
      <c r="M80" s="22"/>
      <c r="N80" s="22"/>
      <c r="T80" s="56" t="s">
        <v>222</v>
      </c>
      <c r="U80" s="57"/>
      <c r="V80" s="57"/>
      <c r="W80" s="57"/>
      <c r="X80" s="58"/>
      <c r="Y80" s="18"/>
    </row>
    <row r="81" spans="11:29">
      <c r="K81" s="19"/>
      <c r="M81" s="22"/>
      <c r="N81" s="22"/>
      <c r="T81" s="56"/>
      <c r="U81" s="57"/>
      <c r="V81" s="57"/>
      <c r="W81" s="57"/>
      <c r="X81" s="117"/>
      <c r="Y81" s="91" t="s">
        <v>223</v>
      </c>
      <c r="AB81" s="95" t="s">
        <v>95</v>
      </c>
    </row>
    <row r="82" spans="11:29">
      <c r="K82" s="19"/>
      <c r="M82" s="22"/>
      <c r="N82" s="22"/>
      <c r="S82" s="82" t="s">
        <v>82</v>
      </c>
      <c r="T82" s="83"/>
      <c r="U82" s="84"/>
      <c r="V82" s="103"/>
      <c r="W82" s="84"/>
      <c r="X82" s="85"/>
      <c r="Y82" s="86" t="s">
        <v>182</v>
      </c>
      <c r="AB82" s="112" t="s">
        <v>224</v>
      </c>
    </row>
    <row r="83" spans="11:29">
      <c r="K83" s="19"/>
      <c r="M83" s="22"/>
      <c r="N83" s="22"/>
      <c r="S83" s="89" t="s">
        <v>83</v>
      </c>
      <c r="T83" s="60" t="s">
        <v>80</v>
      </c>
      <c r="U83" s="61" t="s">
        <v>4</v>
      </c>
      <c r="V83" s="40">
        <v>20370</v>
      </c>
      <c r="W83" s="40"/>
      <c r="X83" s="69"/>
      <c r="Y83" s="79"/>
      <c r="AB83" s="96"/>
    </row>
    <row r="84" spans="11:29">
      <c r="K84" s="19"/>
      <c r="M84" s="22"/>
      <c r="N84" s="22"/>
      <c r="S84" s="72"/>
      <c r="T84" s="61"/>
      <c r="U84" s="61" t="s">
        <v>5</v>
      </c>
      <c r="V84" s="40">
        <v>66090</v>
      </c>
      <c r="W84" s="40"/>
      <c r="X84" s="69"/>
      <c r="Y84" s="79"/>
      <c r="AB84" s="96"/>
    </row>
    <row r="85" spans="11:29">
      <c r="K85" s="19"/>
      <c r="M85" s="22"/>
      <c r="N85" s="22"/>
      <c r="S85" s="72"/>
      <c r="T85" s="61"/>
      <c r="U85" s="61" t="s">
        <v>7</v>
      </c>
      <c r="V85" s="48">
        <v>23751</v>
      </c>
      <c r="W85" s="40">
        <f>SUM(V83:V85)</f>
        <v>110211</v>
      </c>
      <c r="X85" s="69"/>
      <c r="Y85" s="80">
        <f>+W85</f>
        <v>110211</v>
      </c>
      <c r="Z85" s="18"/>
      <c r="AB85" s="96"/>
    </row>
    <row r="86" spans="11:29">
      <c r="K86" s="19"/>
      <c r="M86" s="22"/>
      <c r="N86" s="22"/>
      <c r="S86" s="72"/>
      <c r="T86" s="61" t="s">
        <v>158</v>
      </c>
      <c r="U86" s="61" t="s">
        <v>7</v>
      </c>
      <c r="V86" s="40"/>
      <c r="W86" s="40">
        <v>17863</v>
      </c>
      <c r="X86" s="69"/>
      <c r="Y86" s="80"/>
      <c r="Z86" s="18"/>
      <c r="AB86" s="96"/>
    </row>
    <row r="87" spans="11:29">
      <c r="K87" s="19"/>
      <c r="M87" s="22"/>
      <c r="N87" s="22"/>
      <c r="S87" s="72"/>
      <c r="T87" s="61" t="s">
        <v>159</v>
      </c>
      <c r="U87" s="61" t="s">
        <v>7</v>
      </c>
      <c r="V87" s="40"/>
      <c r="W87" s="40">
        <v>2568</v>
      </c>
      <c r="X87" s="69"/>
      <c r="Y87" s="80"/>
      <c r="Z87" s="18"/>
      <c r="AB87" s="96"/>
    </row>
    <row r="88" spans="11:29">
      <c r="K88" s="19"/>
      <c r="M88" s="22"/>
      <c r="N88" s="22"/>
      <c r="S88" s="72"/>
      <c r="T88" s="60" t="s">
        <v>116</v>
      </c>
      <c r="U88" s="61" t="s">
        <v>5</v>
      </c>
      <c r="V88" s="40"/>
      <c r="W88" s="40">
        <v>1013</v>
      </c>
      <c r="X88" s="73"/>
      <c r="Y88" s="80">
        <f>+W88</f>
        <v>1013</v>
      </c>
      <c r="Z88" s="18"/>
      <c r="AB88" s="96"/>
    </row>
    <row r="89" spans="11:29">
      <c r="K89" s="19"/>
      <c r="M89" s="22"/>
      <c r="N89" s="22"/>
      <c r="P89" s="43"/>
      <c r="S89" s="70" t="s">
        <v>81</v>
      </c>
      <c r="T89" s="60"/>
      <c r="U89" s="61"/>
      <c r="V89" s="40"/>
      <c r="W89" s="40"/>
      <c r="X89" s="73"/>
      <c r="Y89" s="80"/>
      <c r="Z89" s="18"/>
      <c r="AB89" s="96"/>
    </row>
    <row r="90" spans="11:29">
      <c r="K90" s="19"/>
      <c r="M90" s="22"/>
      <c r="N90" s="22"/>
      <c r="P90" s="43"/>
      <c r="S90" s="72"/>
      <c r="T90" s="60" t="s">
        <v>89</v>
      </c>
      <c r="U90" s="61" t="s">
        <v>4</v>
      </c>
      <c r="V90" s="40">
        <v>1591</v>
      </c>
      <c r="W90" s="40"/>
      <c r="X90" s="73"/>
      <c r="Y90" s="80">
        <v>0</v>
      </c>
      <c r="Z90" s="93"/>
      <c r="AA90" s="94"/>
      <c r="AB90" s="110">
        <v>0</v>
      </c>
      <c r="AC90" s="88" t="s">
        <v>98</v>
      </c>
    </row>
    <row r="91" spans="11:29">
      <c r="K91" s="19"/>
      <c r="M91" s="22"/>
      <c r="N91" s="22"/>
      <c r="P91" s="43"/>
      <c r="S91" s="72"/>
      <c r="T91" s="60" t="s">
        <v>90</v>
      </c>
      <c r="U91" s="61" t="s">
        <v>5</v>
      </c>
      <c r="V91" s="48">
        <v>210579</v>
      </c>
      <c r="W91" s="40">
        <f>+V90+V91</f>
        <v>212170</v>
      </c>
      <c r="X91" s="73"/>
      <c r="Y91" s="80">
        <v>0</v>
      </c>
      <c r="AB91" s="96"/>
    </row>
    <row r="92" spans="11:29">
      <c r="K92" s="19"/>
      <c r="M92" s="22"/>
      <c r="N92" s="22"/>
      <c r="P92" s="43"/>
      <c r="S92" s="60" t="s">
        <v>91</v>
      </c>
      <c r="T92" s="60"/>
      <c r="U92" s="61" t="s">
        <v>4</v>
      </c>
      <c r="V92" s="40"/>
      <c r="W92" s="48">
        <v>2026</v>
      </c>
      <c r="X92" s="71">
        <f>SUM(W85:W92)</f>
        <v>345851</v>
      </c>
      <c r="Y92" s="80">
        <f>+W92</f>
        <v>2026</v>
      </c>
      <c r="Z92" s="88" t="s">
        <v>63</v>
      </c>
      <c r="AB92" s="96"/>
    </row>
    <row r="93" spans="11:29">
      <c r="K93" s="19"/>
      <c r="M93" s="51"/>
      <c r="N93" s="34"/>
      <c r="S93" s="90" t="s">
        <v>84</v>
      </c>
      <c r="T93" s="60"/>
      <c r="U93" s="61"/>
      <c r="V93" s="40"/>
      <c r="W93" s="40"/>
      <c r="X93" s="69"/>
      <c r="Y93" s="79"/>
      <c r="AB93" s="96"/>
    </row>
    <row r="94" spans="11:29">
      <c r="K94" s="19"/>
      <c r="M94" s="51"/>
      <c r="N94" s="34"/>
      <c r="S94" s="87"/>
      <c r="T94" s="60" t="s">
        <v>93</v>
      </c>
      <c r="U94" s="61" t="s">
        <v>4</v>
      </c>
      <c r="V94" s="40"/>
      <c r="W94" s="40">
        <v>0</v>
      </c>
      <c r="X94" s="73"/>
      <c r="Y94" s="80">
        <f>+W94</f>
        <v>0</v>
      </c>
      <c r="AB94" s="96"/>
    </row>
    <row r="95" spans="11:29">
      <c r="K95" s="19"/>
      <c r="M95" s="22"/>
      <c r="N95" s="107"/>
      <c r="S95" s="87"/>
      <c r="T95" s="60" t="s">
        <v>148</v>
      </c>
      <c r="U95" s="61" t="s">
        <v>4</v>
      </c>
      <c r="V95" s="40">
        <v>0</v>
      </c>
      <c r="W95" s="40"/>
      <c r="X95" s="69"/>
      <c r="Y95" s="80">
        <v>0</v>
      </c>
      <c r="AB95" s="96"/>
    </row>
    <row r="96" spans="11:29">
      <c r="K96" s="19"/>
      <c r="M96" s="34"/>
      <c r="N96" s="34"/>
      <c r="S96" s="87"/>
      <c r="T96" s="60"/>
      <c r="U96" s="61" t="s">
        <v>5</v>
      </c>
      <c r="V96" s="48">
        <v>853</v>
      </c>
      <c r="W96" s="40">
        <f>SUM(V95:V96)</f>
        <v>853</v>
      </c>
      <c r="X96" s="69"/>
      <c r="Y96" s="80">
        <f>+W96</f>
        <v>853</v>
      </c>
      <c r="AB96" s="96"/>
    </row>
    <row r="97" spans="11:29">
      <c r="K97" s="19"/>
      <c r="M97" s="34"/>
      <c r="N97" s="34"/>
      <c r="S97" s="87"/>
      <c r="T97" s="60" t="s">
        <v>85</v>
      </c>
      <c r="U97" s="61"/>
      <c r="V97" s="40"/>
      <c r="W97" s="40"/>
      <c r="X97" s="69"/>
      <c r="Y97" s="80"/>
      <c r="AB97" s="96"/>
    </row>
    <row r="98" spans="11:29">
      <c r="K98" s="19"/>
      <c r="M98" s="34"/>
      <c r="N98" s="34"/>
      <c r="S98" s="87"/>
      <c r="T98" s="60"/>
      <c r="U98" s="61" t="s">
        <v>4</v>
      </c>
      <c r="V98" s="40">
        <v>0</v>
      </c>
      <c r="W98" s="40"/>
      <c r="X98" s="69"/>
      <c r="Y98" s="80"/>
      <c r="AB98" s="96"/>
    </row>
    <row r="99" spans="11:29">
      <c r="K99" s="19"/>
      <c r="M99" s="34"/>
      <c r="N99" s="34"/>
      <c r="S99" s="87"/>
      <c r="T99" s="60"/>
      <c r="U99" s="61" t="s">
        <v>5</v>
      </c>
      <c r="V99" s="40">
        <v>0</v>
      </c>
      <c r="W99" s="40"/>
      <c r="X99" s="69"/>
      <c r="Y99" s="80"/>
      <c r="AB99" s="96"/>
    </row>
    <row r="100" spans="11:29">
      <c r="K100" s="19"/>
      <c r="M100" s="34"/>
      <c r="N100" s="34"/>
      <c r="S100" s="87"/>
      <c r="T100" s="60"/>
      <c r="U100" s="61" t="s">
        <v>7</v>
      </c>
      <c r="V100" s="48">
        <v>0</v>
      </c>
      <c r="W100" s="40">
        <f>SUM(V98:V100)</f>
        <v>0</v>
      </c>
      <c r="X100" s="69"/>
      <c r="Y100" s="80">
        <f>+W100</f>
        <v>0</v>
      </c>
      <c r="AB100" s="96"/>
    </row>
    <row r="101" spans="11:29">
      <c r="K101" s="19"/>
      <c r="S101" s="87"/>
      <c r="T101" s="60" t="s">
        <v>171</v>
      </c>
      <c r="U101" s="61"/>
      <c r="V101" s="40"/>
      <c r="W101" s="40"/>
      <c r="X101" s="69"/>
      <c r="Y101" s="79"/>
      <c r="AB101" s="96"/>
    </row>
    <row r="102" spans="11:29">
      <c r="K102" s="19"/>
      <c r="S102" s="87"/>
      <c r="T102" s="60"/>
      <c r="U102" s="61" t="s">
        <v>7</v>
      </c>
      <c r="V102" s="48">
        <v>38011</v>
      </c>
      <c r="W102" s="48">
        <f>SUM(V102:V102)</f>
        <v>38011</v>
      </c>
      <c r="X102" s="74">
        <f>SUM(W94:W102)</f>
        <v>38864</v>
      </c>
      <c r="Y102" s="80"/>
      <c r="AB102" s="96"/>
    </row>
    <row r="103" spans="11:29">
      <c r="K103" s="19"/>
      <c r="S103" s="87"/>
      <c r="T103" s="60" t="s">
        <v>194</v>
      </c>
      <c r="U103" s="60"/>
      <c r="V103" s="63"/>
      <c r="W103" s="63"/>
      <c r="X103" s="73">
        <f>SUM(X92:X102)</f>
        <v>384715</v>
      </c>
      <c r="Y103" s="79"/>
      <c r="AB103" s="96"/>
    </row>
    <row r="104" spans="11:29">
      <c r="K104" s="19"/>
      <c r="S104" s="90" t="s">
        <v>87</v>
      </c>
      <c r="T104" s="61"/>
      <c r="U104" s="61" t="s">
        <v>4</v>
      </c>
      <c r="V104" s="40"/>
      <c r="W104" s="40">
        <v>2263</v>
      </c>
      <c r="X104" s="69"/>
      <c r="Y104" s="79"/>
      <c r="AB104" s="96"/>
    </row>
    <row r="105" spans="11:29">
      <c r="K105" s="19"/>
      <c r="S105" s="87"/>
      <c r="T105" s="61"/>
      <c r="U105" s="61" t="s">
        <v>5</v>
      </c>
      <c r="V105" s="40"/>
      <c r="W105" s="40">
        <v>3569</v>
      </c>
      <c r="X105" s="69"/>
      <c r="Y105" s="79"/>
      <c r="AB105" s="96"/>
    </row>
    <row r="106" spans="11:29">
      <c r="K106" s="19"/>
      <c r="S106" s="87"/>
      <c r="T106" s="61"/>
      <c r="U106" s="61" t="s">
        <v>7</v>
      </c>
      <c r="V106" s="40"/>
      <c r="W106" s="48">
        <v>3251</v>
      </c>
      <c r="X106" s="74">
        <f>SUM(W104:W106)</f>
        <v>9083</v>
      </c>
      <c r="Y106" s="104"/>
      <c r="AB106" s="98"/>
    </row>
    <row r="107" spans="11:29">
      <c r="K107" s="19"/>
      <c r="S107" s="90" t="s">
        <v>88</v>
      </c>
      <c r="T107" s="60"/>
      <c r="U107" s="61"/>
      <c r="V107" s="62"/>
      <c r="W107" s="68"/>
      <c r="X107" s="73">
        <f>+X103+X106</f>
        <v>393798</v>
      </c>
      <c r="Y107" s="80">
        <f>SUM(Y85:Y102)</f>
        <v>114103</v>
      </c>
      <c r="Z107" s="88" t="s">
        <v>225</v>
      </c>
      <c r="AB107" s="111">
        <f>SUM(AB85:AB106)</f>
        <v>0</v>
      </c>
      <c r="AC107" s="88" t="s">
        <v>226</v>
      </c>
    </row>
    <row r="108" spans="11:29">
      <c r="K108" s="19"/>
      <c r="S108" s="75"/>
      <c r="T108" s="76"/>
      <c r="U108" s="76"/>
      <c r="V108" s="76"/>
      <c r="W108" s="77"/>
      <c r="X108" s="78"/>
      <c r="Y108" s="81"/>
      <c r="AB108" s="98"/>
    </row>
    <row r="109" spans="11:29">
      <c r="K109" s="19"/>
      <c r="Y109" s="19"/>
      <c r="AB109" s="43">
        <f>+(Y107+AB107)*1000</f>
        <v>114103000</v>
      </c>
      <c r="AC109" t="s">
        <v>227</v>
      </c>
    </row>
    <row r="110" spans="11:29">
      <c r="K110" s="19"/>
      <c r="W110" s="18"/>
      <c r="X110" s="43"/>
      <c r="Y110" s="43"/>
      <c r="AB110" s="18"/>
    </row>
    <row r="111" spans="11:29">
      <c r="K111" s="19"/>
      <c r="X111" s="43"/>
      <c r="Y111" s="43"/>
    </row>
    <row r="112" spans="11:29">
      <c r="K112" s="19"/>
      <c r="X112" s="43"/>
      <c r="Y112" s="19"/>
    </row>
    <row r="113" spans="24:24">
      <c r="X113" s="43"/>
    </row>
    <row r="114" spans="24:24">
      <c r="X114" s="18"/>
    </row>
  </sheetData>
  <mergeCells count="12">
    <mergeCell ref="AB12:AF12"/>
    <mergeCell ref="Z36:AA36"/>
    <mergeCell ref="A2:R2"/>
    <mergeCell ref="A3:R3"/>
    <mergeCell ref="G12:K12"/>
    <mergeCell ref="L12:V12"/>
    <mergeCell ref="X12:AA12"/>
    <mergeCell ref="A13:F13"/>
    <mergeCell ref="L13:P13"/>
    <mergeCell ref="Q13:U13"/>
    <mergeCell ref="A15:F15"/>
    <mergeCell ref="W36:Y36"/>
  </mergeCells>
  <printOptions horizontalCentered="1"/>
  <pageMargins left="0" right="0" top="0.19" bottom="0" header="0.17" footer="0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115"/>
  <sheetViews>
    <sheetView workbookViewId="0"/>
  </sheetViews>
  <sheetFormatPr defaultRowHeight="15"/>
  <cols>
    <col min="1" max="1" width="1.28515625" customWidth="1"/>
    <col min="2" max="3" width="5.140625" customWidth="1"/>
    <col min="4" max="4" width="34" customWidth="1"/>
    <col min="5" max="5" width="1.28515625" customWidth="1"/>
    <col min="6" max="6" width="8.42578125" customWidth="1"/>
    <col min="7" max="7" width="12.7109375" customWidth="1"/>
    <col min="8" max="8" width="13.85546875" customWidth="1"/>
    <col min="9" max="9" width="8.7109375" customWidth="1"/>
    <col min="10" max="11" width="13.140625" customWidth="1"/>
    <col min="12" max="12" width="13.28515625" customWidth="1"/>
    <col min="13" max="13" width="12.85546875" customWidth="1"/>
    <col min="14" max="14" width="14.5703125" customWidth="1"/>
    <col min="15" max="15" width="13.7109375" customWidth="1"/>
    <col min="16" max="16" width="13.5703125" customWidth="1"/>
    <col min="17" max="17" width="15" customWidth="1"/>
    <col min="18" max="18" width="12" customWidth="1"/>
    <col min="19" max="19" width="7.85546875" customWidth="1"/>
    <col min="20" max="20" width="14" customWidth="1"/>
    <col min="21" max="21" width="12" customWidth="1"/>
    <col min="22" max="22" width="13" customWidth="1"/>
    <col min="23" max="23" width="14" customWidth="1"/>
    <col min="24" max="24" width="10" customWidth="1"/>
    <col min="25" max="25" width="14.7109375" customWidth="1"/>
    <col min="26" max="26" width="8.28515625" customWidth="1"/>
    <col min="27" max="27" width="8.85546875" customWidth="1"/>
    <col min="28" max="28" width="13.28515625" customWidth="1"/>
    <col min="29" max="29" width="13.5703125" customWidth="1"/>
    <col min="30" max="30" width="8.140625" customWidth="1"/>
    <col min="31" max="31" width="12" customWidth="1"/>
    <col min="32" max="32" width="13.28515625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86" t="s">
        <v>233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 ht="7.5" customHeight="1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42">
        <v>0</v>
      </c>
      <c r="H18" s="42">
        <f>6428019.9-59170</f>
        <v>6368849.9000000004</v>
      </c>
      <c r="I18" s="32">
        <v>0</v>
      </c>
      <c r="J18" s="32">
        <v>2383374.0299999998</v>
      </c>
      <c r="K18" s="32">
        <f>SUM(G18:J18)</f>
        <v>8752223.9299999997</v>
      </c>
      <c r="L18" s="42">
        <v>0</v>
      </c>
      <c r="M18" s="42">
        <v>91614.29</v>
      </c>
      <c r="N18" s="42">
        <v>0</v>
      </c>
      <c r="O18" s="42">
        <v>78771.259999999995</v>
      </c>
      <c r="P18" s="32">
        <f>SUM(L18:O18)</f>
        <v>170385.55</v>
      </c>
      <c r="Q18" s="32">
        <v>0</v>
      </c>
      <c r="R18" s="32">
        <f>474116.49+59170</f>
        <v>533286.49</v>
      </c>
      <c r="S18" s="32">
        <v>0</v>
      </c>
      <c r="T18" s="32">
        <v>722736.52</v>
      </c>
      <c r="U18" s="32">
        <f>SUM(Q18:T18)</f>
        <v>1256023.01</v>
      </c>
      <c r="V18" s="32">
        <f>+P18+U18</f>
        <v>1426408.56</v>
      </c>
      <c r="W18" s="32">
        <f>+K18+V18</f>
        <v>10178632.49</v>
      </c>
      <c r="X18" s="32"/>
      <c r="Y18" s="32"/>
      <c r="Z18" s="32"/>
      <c r="AA18" s="32">
        <f>SUM(X18:Z18)</f>
        <v>0</v>
      </c>
      <c r="AB18" s="32">
        <f>+G18+L18+Q18+X18</f>
        <v>0</v>
      </c>
      <c r="AC18" s="42">
        <f>+H18+M18+R18+Y18</f>
        <v>6993750.6800000006</v>
      </c>
      <c r="AD18" s="32">
        <f>+I18+N18+S18</f>
        <v>0</v>
      </c>
      <c r="AE18" s="32">
        <f>+J18+O18+T18+Z18</f>
        <v>3184881.8099999996</v>
      </c>
      <c r="AF18" s="32">
        <f>SUM(AB18:AE18)</f>
        <v>10178632.49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32586905.02</v>
      </c>
      <c r="H19" s="32">
        <v>8427379.3599999994</v>
      </c>
      <c r="I19" s="32">
        <v>0</v>
      </c>
      <c r="J19" s="32">
        <v>0</v>
      </c>
      <c r="K19" s="32">
        <f t="shared" ref="K19:K29" si="0">SUM(G19:J19)</f>
        <v>41014284.379999995</v>
      </c>
      <c r="L19" s="32">
        <v>0</v>
      </c>
      <c r="M19" s="32">
        <v>17449.830000000002</v>
      </c>
      <c r="N19" s="32">
        <v>0</v>
      </c>
      <c r="O19" s="32">
        <v>0</v>
      </c>
      <c r="P19" s="32">
        <f t="shared" ref="P19:P29" si="1">SUM(L19:O19)</f>
        <v>17449.830000000002</v>
      </c>
      <c r="Q19" s="32">
        <v>0</v>
      </c>
      <c r="R19" s="32">
        <v>2339487.9300000002</v>
      </c>
      <c r="S19" s="32">
        <v>0</v>
      </c>
      <c r="T19" s="32">
        <v>401711.69</v>
      </c>
      <c r="U19" s="32">
        <f t="shared" ref="U19:U29" si="2">SUM(Q19:T19)</f>
        <v>2741199.62</v>
      </c>
      <c r="V19" s="32">
        <f t="shared" ref="V19:V29" si="3">+P19+U19</f>
        <v>2758649.45</v>
      </c>
      <c r="W19" s="32">
        <f t="shared" ref="W19:W29" si="4">+K19+V19</f>
        <v>43772933.829999998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32586905.02</v>
      </c>
      <c r="AC19" s="32">
        <f t="shared" si="6"/>
        <v>10784317.119999999</v>
      </c>
      <c r="AD19" s="32">
        <f t="shared" ref="AD19:AD29" si="7">+I19+N19+S19</f>
        <v>0</v>
      </c>
      <c r="AE19" s="32">
        <f t="shared" ref="AE19:AE29" si="8">+J19+O19+T19+Z19</f>
        <v>401711.69</v>
      </c>
      <c r="AF19" s="32">
        <f t="shared" ref="AF19:AF29" si="9">SUM(AB19:AE19)</f>
        <v>43772933.829999998</v>
      </c>
      <c r="AG19" s="10"/>
      <c r="AH19" s="18">
        <f t="shared" ref="AH19:AH29" si="10">+W19+AA19-AF19</f>
        <v>0</v>
      </c>
      <c r="AJ19" s="66">
        <f>+AF18+AF19</f>
        <v>53951566.32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7173431.1299999999</v>
      </c>
      <c r="H23" s="42">
        <v>876244.07</v>
      </c>
      <c r="I23" s="42">
        <v>0</v>
      </c>
      <c r="J23" s="42">
        <v>54769.72</v>
      </c>
      <c r="K23" s="42">
        <f t="shared" si="0"/>
        <v>8104444.9199999999</v>
      </c>
      <c r="L23" s="42">
        <v>0</v>
      </c>
      <c r="M23" s="42">
        <v>5185.71</v>
      </c>
      <c r="N23" s="42">
        <v>0</v>
      </c>
      <c r="O23" s="42">
        <v>4458.74</v>
      </c>
      <c r="P23" s="42">
        <f t="shared" si="1"/>
        <v>9644.4500000000007</v>
      </c>
      <c r="Q23" s="42">
        <v>0</v>
      </c>
      <c r="R23" s="42">
        <v>95723.37</v>
      </c>
      <c r="S23" s="42">
        <v>0</v>
      </c>
      <c r="T23" s="42">
        <v>118899.67</v>
      </c>
      <c r="U23" s="42">
        <f t="shared" si="2"/>
        <v>214623.03999999998</v>
      </c>
      <c r="V23" s="42">
        <f t="shared" si="3"/>
        <v>224267.49</v>
      </c>
      <c r="W23" s="42">
        <f t="shared" si="4"/>
        <v>8328712.4100000001</v>
      </c>
      <c r="X23" s="42"/>
      <c r="Y23" s="42"/>
      <c r="Z23" s="42"/>
      <c r="AA23" s="42">
        <f t="shared" si="5"/>
        <v>0</v>
      </c>
      <c r="AB23" s="42">
        <f t="shared" si="6"/>
        <v>7173431.1299999999</v>
      </c>
      <c r="AC23" s="42">
        <f t="shared" si="6"/>
        <v>977153.14999999991</v>
      </c>
      <c r="AD23" s="42">
        <f t="shared" si="7"/>
        <v>0</v>
      </c>
      <c r="AE23" s="42">
        <f t="shared" si="8"/>
        <v>178128.13</v>
      </c>
      <c r="AF23" s="42">
        <f t="shared" si="9"/>
        <v>8328712.4099999992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53951566.32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39760336.149999999</v>
      </c>
      <c r="H31" s="33">
        <f t="shared" ref="H31:AH31" si="11">SUM(H18:H29)</f>
        <v>15672473.33</v>
      </c>
      <c r="I31" s="33">
        <f t="shared" si="11"/>
        <v>0</v>
      </c>
      <c r="J31" s="33">
        <f t="shared" si="11"/>
        <v>2438143.75</v>
      </c>
      <c r="K31" s="33">
        <f t="shared" si="11"/>
        <v>57870953.229999997</v>
      </c>
      <c r="L31" s="33">
        <f t="shared" si="11"/>
        <v>0</v>
      </c>
      <c r="M31" s="33">
        <f t="shared" si="11"/>
        <v>114249.83</v>
      </c>
      <c r="N31" s="33">
        <f t="shared" si="11"/>
        <v>0</v>
      </c>
      <c r="O31" s="33">
        <f t="shared" si="11"/>
        <v>83230</v>
      </c>
      <c r="P31" s="33">
        <f t="shared" si="11"/>
        <v>197479.83000000002</v>
      </c>
      <c r="Q31" s="33">
        <f t="shared" si="11"/>
        <v>0</v>
      </c>
      <c r="R31" s="33">
        <f t="shared" si="11"/>
        <v>2968497.79</v>
      </c>
      <c r="S31" s="33">
        <f t="shared" si="11"/>
        <v>0</v>
      </c>
      <c r="T31" s="33">
        <f t="shared" si="11"/>
        <v>1243347.8799999999</v>
      </c>
      <c r="U31" s="33">
        <f t="shared" si="11"/>
        <v>4211845.67</v>
      </c>
      <c r="V31" s="33">
        <f t="shared" si="11"/>
        <v>4409325.5</v>
      </c>
      <c r="W31" s="33">
        <f t="shared" si="11"/>
        <v>62280278.730000004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39760336.149999999</v>
      </c>
      <c r="AC31" s="33">
        <f t="shared" si="11"/>
        <v>18755220.949999999</v>
      </c>
      <c r="AD31" s="33">
        <f t="shared" si="11"/>
        <v>0</v>
      </c>
      <c r="AE31" s="33">
        <f t="shared" si="11"/>
        <v>3764721.6299999994</v>
      </c>
      <c r="AF31" s="33">
        <f t="shared" si="11"/>
        <v>62280278.729999997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5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ht="6.75" customHeight="1">
      <c r="B34" s="136"/>
    </row>
    <row r="35" spans="1:34" ht="7.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</row>
    <row r="36" spans="1:34">
      <c r="A36" s="3"/>
      <c r="B36" s="28" t="s">
        <v>33</v>
      </c>
      <c r="C36" s="28"/>
      <c r="D36" s="16"/>
      <c r="E36" s="16"/>
      <c r="F36" s="16"/>
      <c r="G36" s="116" t="s">
        <v>234</v>
      </c>
      <c r="H36" s="116"/>
      <c r="I36" s="116"/>
      <c r="J36" s="134"/>
      <c r="K36" s="116" t="s">
        <v>235</v>
      </c>
      <c r="L36" s="116"/>
      <c r="M36" s="16"/>
      <c r="N36" s="161" t="s">
        <v>237</v>
      </c>
      <c r="P36" s="16"/>
      <c r="Q36" s="160"/>
      <c r="T36" s="16"/>
      <c r="U36" s="16"/>
      <c r="V36" s="16"/>
      <c r="W36" s="176"/>
      <c r="X36" s="176"/>
      <c r="Y36" s="176"/>
      <c r="Z36" s="179"/>
      <c r="AA36" s="179"/>
      <c r="AB36" s="16"/>
      <c r="AC36" s="16"/>
      <c r="AE36" s="18"/>
    </row>
    <row r="37" spans="1:34" ht="18.75">
      <c r="A37" s="3"/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/>
      <c r="O37" s="16"/>
      <c r="P37" s="16"/>
      <c r="Q37" s="16"/>
      <c r="T37" s="16"/>
      <c r="U37" s="16"/>
      <c r="V37" s="16"/>
      <c r="W37" s="106"/>
      <c r="X37" s="22"/>
      <c r="Y37" s="22"/>
      <c r="Z37" s="22"/>
      <c r="AA37" s="22"/>
      <c r="AB37" s="22"/>
      <c r="AC37" s="22"/>
      <c r="AD37" s="43"/>
      <c r="AH37" s="18"/>
    </row>
    <row r="38" spans="1:34">
      <c r="A38" s="3"/>
      <c r="B38" s="16"/>
      <c r="C38" s="16"/>
      <c r="D38" s="16" t="s">
        <v>103</v>
      </c>
      <c r="E38" s="16"/>
      <c r="F38" s="16"/>
      <c r="G38" s="25"/>
      <c r="H38" s="22">
        <f>SUM(G39:G49)</f>
        <v>1116998305</v>
      </c>
      <c r="I38" s="22"/>
      <c r="J38" s="22"/>
      <c r="K38" s="59">
        <f>SUM(J39:J49)</f>
        <v>113353570</v>
      </c>
      <c r="L38" s="22"/>
      <c r="M38" s="22"/>
      <c r="N38" s="120">
        <f>SUM(M39:M49)</f>
        <v>1230351875</v>
      </c>
      <c r="O38" s="22"/>
      <c r="P38" s="22"/>
      <c r="Q38" s="59"/>
      <c r="R38" s="43"/>
      <c r="T38" s="16"/>
      <c r="U38" s="16"/>
      <c r="V38" s="25"/>
      <c r="W38" s="25"/>
      <c r="X38" s="22"/>
      <c r="Y38" s="22"/>
      <c r="Z38" s="22"/>
      <c r="AA38" s="22"/>
      <c r="AB38" s="22"/>
      <c r="AC38" s="22"/>
      <c r="AD38" s="43"/>
    </row>
    <row r="39" spans="1:34">
      <c r="A39" s="3"/>
      <c r="B39" s="16"/>
      <c r="C39" s="16"/>
      <c r="D39" s="121" t="s">
        <v>97</v>
      </c>
      <c r="E39" s="16"/>
      <c r="F39" s="16"/>
      <c r="G39" s="22">
        <v>711376000</v>
      </c>
      <c r="H39" s="22"/>
      <c r="I39" s="22"/>
      <c r="J39" s="40">
        <v>0</v>
      </c>
      <c r="K39" s="22"/>
      <c r="L39" s="22"/>
      <c r="M39" s="22">
        <f>89000000+93488000+163160000+120179000+128747000+116802000</f>
        <v>711376000</v>
      </c>
      <c r="N39" s="122"/>
      <c r="O39" s="22"/>
      <c r="P39" s="22"/>
      <c r="Q39" s="22"/>
      <c r="T39" s="16"/>
      <c r="U39" s="16"/>
      <c r="V39" s="25"/>
      <c r="W39" s="25"/>
      <c r="X39" s="51"/>
      <c r="Y39" s="51"/>
      <c r="Z39" s="51"/>
      <c r="AA39" s="51"/>
      <c r="AB39" s="51"/>
      <c r="AC39" s="51"/>
      <c r="AD39" s="19"/>
    </row>
    <row r="40" spans="1:34">
      <c r="A40" s="3"/>
      <c r="B40" s="16"/>
      <c r="C40" s="16"/>
      <c r="D40" s="121" t="s">
        <v>100</v>
      </c>
      <c r="E40" s="16"/>
      <c r="F40" s="16"/>
      <c r="G40" s="22">
        <v>12152000</v>
      </c>
      <c r="H40" s="22"/>
      <c r="I40" s="22"/>
      <c r="J40" s="22">
        <v>0</v>
      </c>
      <c r="K40" s="22"/>
      <c r="L40" s="22"/>
      <c r="M40" s="22">
        <f>2026000+2025000+2025000+2026000+2025000+2025000</f>
        <v>12152000</v>
      </c>
      <c r="N40" s="122"/>
      <c r="O40" s="22"/>
      <c r="P40" s="22"/>
      <c r="Q40" s="22"/>
      <c r="T40" t="s">
        <v>44</v>
      </c>
      <c r="V40" s="20"/>
      <c r="W40" s="20"/>
      <c r="X40" s="20"/>
      <c r="Y40" s="20"/>
      <c r="Z40" t="s">
        <v>47</v>
      </c>
      <c r="AA40" s="20"/>
      <c r="AB40" s="51"/>
      <c r="AC40" s="51"/>
      <c r="AD40" s="19"/>
    </row>
    <row r="41" spans="1:34">
      <c r="A41" s="3"/>
      <c r="B41" s="16"/>
      <c r="C41" s="16"/>
      <c r="D41" s="121" t="s">
        <v>167</v>
      </c>
      <c r="E41" s="16"/>
      <c r="F41" s="16"/>
      <c r="G41" s="22">
        <f>79358000+89441000+100687000+112077000</f>
        <v>381563000</v>
      </c>
      <c r="H41" s="22"/>
      <c r="I41" s="22"/>
      <c r="J41" s="22">
        <v>104211000</v>
      </c>
      <c r="K41" s="22"/>
      <c r="L41" s="22"/>
      <c r="M41" s="22">
        <f>79358000+89441000+100687000+112077000+104211000</f>
        <v>485774000</v>
      </c>
      <c r="N41" s="122"/>
      <c r="O41" s="22"/>
      <c r="P41" s="22"/>
      <c r="Q41" s="22"/>
      <c r="V41" s="20"/>
      <c r="W41" s="20"/>
      <c r="X41" s="20"/>
      <c r="Y41" s="20"/>
      <c r="AA41" s="20"/>
      <c r="AB41" s="51"/>
      <c r="AC41" s="51"/>
      <c r="AD41" s="19"/>
    </row>
    <row r="42" spans="1:34">
      <c r="A42" s="3"/>
      <c r="B42" s="16"/>
      <c r="C42" s="16"/>
      <c r="D42" s="121" t="s">
        <v>168</v>
      </c>
      <c r="E42" s="16"/>
      <c r="F42" s="16"/>
      <c r="G42" s="22">
        <f>2026000+2026000+2025000+2026000</f>
        <v>8103000</v>
      </c>
      <c r="H42" s="22"/>
      <c r="I42" s="22"/>
      <c r="J42" s="22">
        <v>2026000</v>
      </c>
      <c r="K42" s="22"/>
      <c r="L42" s="22"/>
      <c r="M42" s="22">
        <f>2026000+2026000+2025000+2026000+2026000</f>
        <v>10129000</v>
      </c>
      <c r="N42" s="122"/>
      <c r="O42" s="22"/>
      <c r="P42" s="22"/>
      <c r="Q42" s="22"/>
      <c r="V42" s="20"/>
      <c r="W42" s="20"/>
      <c r="X42" s="20"/>
      <c r="Y42" s="20"/>
      <c r="AA42" s="20"/>
      <c r="AB42" s="51"/>
      <c r="AC42" s="51"/>
      <c r="AD42" s="19"/>
    </row>
    <row r="43" spans="1:34">
      <c r="A43" s="3"/>
      <c r="B43" s="16"/>
      <c r="C43" s="16"/>
      <c r="D43" s="121" t="s">
        <v>236</v>
      </c>
      <c r="E43" s="16"/>
      <c r="F43" s="16"/>
      <c r="G43" s="22">
        <v>0</v>
      </c>
      <c r="H43" s="22"/>
      <c r="I43" s="22"/>
      <c r="J43" s="22">
        <v>7116570</v>
      </c>
      <c r="K43" s="22"/>
      <c r="L43" s="22"/>
      <c r="M43" s="22">
        <v>7116570</v>
      </c>
      <c r="N43" s="122"/>
      <c r="O43" s="22"/>
      <c r="P43" s="22"/>
      <c r="Q43" s="22"/>
      <c r="V43" s="20"/>
      <c r="W43" s="20"/>
      <c r="X43" s="20"/>
      <c r="Y43" s="20"/>
      <c r="AA43" s="20"/>
      <c r="AB43" s="51"/>
      <c r="AC43" s="51"/>
      <c r="AD43" s="19"/>
    </row>
    <row r="44" spans="1:34">
      <c r="A44" s="3"/>
      <c r="B44" s="16"/>
      <c r="C44" s="16"/>
      <c r="D44" s="16" t="s">
        <v>104</v>
      </c>
      <c r="E44" s="16"/>
      <c r="F44" s="16"/>
      <c r="G44" s="22"/>
      <c r="H44" s="22"/>
      <c r="I44" s="22"/>
      <c r="J44" s="22">
        <v>0</v>
      </c>
      <c r="K44" s="22"/>
      <c r="L44" s="22"/>
      <c r="M44" s="22"/>
      <c r="N44" s="122"/>
      <c r="O44" s="22"/>
      <c r="P44" s="22"/>
      <c r="Q44" s="22"/>
      <c r="V44" s="20"/>
      <c r="W44" s="20"/>
      <c r="X44" s="20"/>
      <c r="Y44" s="20"/>
      <c r="AA44" s="20"/>
      <c r="AB44" s="31"/>
      <c r="AC44" s="51"/>
      <c r="AD44" s="19"/>
    </row>
    <row r="45" spans="1:34">
      <c r="A45" s="3"/>
      <c r="B45" s="16"/>
      <c r="C45" s="16"/>
      <c r="D45" s="121" t="s">
        <v>105</v>
      </c>
      <c r="E45" s="16"/>
      <c r="F45" s="16"/>
      <c r="G45" s="22">
        <f>94823+94698</f>
        <v>189521</v>
      </c>
      <c r="H45" s="22"/>
      <c r="I45" s="22"/>
      <c r="J45" s="22">
        <v>0</v>
      </c>
      <c r="K45" s="22"/>
      <c r="L45" s="22"/>
      <c r="M45" s="22">
        <f>94823+94698</f>
        <v>189521</v>
      </c>
      <c r="N45" s="122"/>
      <c r="O45" s="22"/>
      <c r="P45" s="22"/>
      <c r="Q45" s="22"/>
      <c r="T45" s="38" t="s">
        <v>49</v>
      </c>
      <c r="V45" s="19"/>
      <c r="W45" s="19"/>
      <c r="X45" s="19"/>
      <c r="Z45" s="38" t="s">
        <v>72</v>
      </c>
      <c r="AB45" s="31"/>
      <c r="AC45" s="51"/>
      <c r="AD45" s="19"/>
    </row>
    <row r="46" spans="1:34">
      <c r="A46" s="3"/>
      <c r="B46" s="16"/>
      <c r="C46" s="16"/>
      <c r="D46" s="121" t="s">
        <v>129</v>
      </c>
      <c r="E46" s="16"/>
      <c r="F46" s="16"/>
      <c r="G46" s="22">
        <v>85598</v>
      </c>
      <c r="H46" s="22"/>
      <c r="I46" s="22"/>
      <c r="J46" s="22">
        <v>0</v>
      </c>
      <c r="K46" s="22"/>
      <c r="L46" s="22"/>
      <c r="M46" s="22">
        <v>85598</v>
      </c>
      <c r="N46" s="122"/>
      <c r="O46" s="22"/>
      <c r="P46" s="22"/>
      <c r="Q46" s="22"/>
      <c r="T46" t="s">
        <v>46</v>
      </c>
      <c r="V46" s="19"/>
      <c r="W46" s="19"/>
      <c r="X46" s="19"/>
      <c r="Z46" t="s">
        <v>71</v>
      </c>
      <c r="AB46" s="31"/>
      <c r="AC46" s="51"/>
      <c r="AD46" s="19"/>
    </row>
    <row r="47" spans="1:34">
      <c r="A47" s="3"/>
      <c r="B47" s="16"/>
      <c r="C47" s="16"/>
      <c r="D47" s="121" t="s">
        <v>130</v>
      </c>
      <c r="E47" s="16"/>
      <c r="F47" s="16"/>
      <c r="G47" s="22">
        <v>670162</v>
      </c>
      <c r="H47" s="22"/>
      <c r="I47" s="22"/>
      <c r="J47" s="22">
        <v>0</v>
      </c>
      <c r="K47" s="22"/>
      <c r="L47" s="22"/>
      <c r="M47" s="22">
        <v>670162</v>
      </c>
      <c r="N47" s="122"/>
      <c r="O47" s="22"/>
      <c r="P47" s="22"/>
      <c r="Q47" s="22"/>
      <c r="T47" t="s">
        <v>45</v>
      </c>
      <c r="V47" s="19"/>
      <c r="W47" s="19"/>
      <c r="X47" s="19"/>
      <c r="Z47" t="s">
        <v>48</v>
      </c>
      <c r="AB47" s="31"/>
      <c r="AC47" s="51"/>
      <c r="AD47" s="19"/>
    </row>
    <row r="48" spans="1:34">
      <c r="A48" s="3"/>
      <c r="B48" s="16"/>
      <c r="C48" s="16"/>
      <c r="D48" s="121" t="s">
        <v>155</v>
      </c>
      <c r="E48" s="16"/>
      <c r="F48" s="16"/>
      <c r="G48" s="22">
        <v>2579959</v>
      </c>
      <c r="H48" s="22"/>
      <c r="I48" s="22"/>
      <c r="J48" s="22">
        <v>0</v>
      </c>
      <c r="K48" s="22"/>
      <c r="L48" s="22"/>
      <c r="M48" s="22">
        <v>2579959</v>
      </c>
      <c r="N48" s="122"/>
      <c r="O48" s="22"/>
      <c r="P48" s="22"/>
      <c r="Q48" s="22"/>
      <c r="V48" s="19"/>
      <c r="W48" s="19"/>
      <c r="X48" s="19"/>
      <c r="AB48" s="31"/>
      <c r="AC48" s="51"/>
      <c r="AD48" s="19"/>
    </row>
    <row r="49" spans="1:32">
      <c r="A49" s="3"/>
      <c r="B49" s="16"/>
      <c r="C49" s="16"/>
      <c r="D49" s="121" t="s">
        <v>231</v>
      </c>
      <c r="E49" s="16"/>
      <c r="F49" s="16"/>
      <c r="G49" s="164">
        <v>279065</v>
      </c>
      <c r="H49" s="22"/>
      <c r="I49" s="22"/>
      <c r="J49" s="165">
        <v>0</v>
      </c>
      <c r="K49" s="22"/>
      <c r="L49" s="22"/>
      <c r="M49" s="21">
        <v>279065</v>
      </c>
      <c r="N49" s="122"/>
      <c r="O49" s="22"/>
      <c r="P49" s="22"/>
      <c r="Q49" s="22"/>
      <c r="V49" s="19"/>
      <c r="W49" s="19"/>
      <c r="X49" s="19"/>
      <c r="AB49" s="31"/>
      <c r="AC49" s="51"/>
      <c r="AD49" s="19"/>
    </row>
    <row r="50" spans="1:32">
      <c r="A50" s="3"/>
      <c r="B50" s="16"/>
      <c r="C50" s="16"/>
      <c r="D50" s="16" t="s">
        <v>35</v>
      </c>
      <c r="E50" s="16"/>
      <c r="F50" s="16"/>
      <c r="G50" s="22"/>
      <c r="H50" s="22">
        <v>0</v>
      </c>
      <c r="I50" s="22"/>
      <c r="J50" s="22"/>
      <c r="K50" s="22">
        <v>0</v>
      </c>
      <c r="L50" s="22"/>
      <c r="M50" s="22"/>
      <c r="N50" s="122"/>
      <c r="O50" s="22"/>
      <c r="P50" s="22"/>
      <c r="Q50" s="22"/>
      <c r="V50" s="19"/>
      <c r="W50" s="19"/>
      <c r="X50" s="19"/>
      <c r="Z50" t="s">
        <v>45</v>
      </c>
      <c r="AB50" s="31"/>
      <c r="AC50" s="22"/>
      <c r="AD50" s="25"/>
      <c r="AE50" s="16"/>
      <c r="AF50" s="16"/>
    </row>
    <row r="51" spans="1:32">
      <c r="A51" s="3"/>
      <c r="B51" s="16"/>
      <c r="C51" s="16"/>
      <c r="D51" s="16" t="s">
        <v>36</v>
      </c>
      <c r="E51" s="16"/>
      <c r="F51" s="16"/>
      <c r="G51" s="25"/>
      <c r="H51" s="22">
        <f>21817245.73+6579604.91+4439371.24+5090156.83+8408763.85+6686363.94+6005100.87</f>
        <v>59026607.369999997</v>
      </c>
      <c r="I51" s="22"/>
      <c r="J51" s="22"/>
      <c r="K51" s="59">
        <f>+AF23</f>
        <v>8328712.4099999992</v>
      </c>
      <c r="L51" s="22"/>
      <c r="M51" s="22"/>
      <c r="N51" s="122">
        <f>6514818+3759574.58+7395098.56+4147754.59+6579604.91+4439371.24+5090156.83+8408763.85+6686363.94+6005100.87+8328712.41</f>
        <v>67355319.780000001</v>
      </c>
      <c r="O51" s="22"/>
      <c r="P51" s="22"/>
      <c r="Q51" s="22"/>
      <c r="R51" s="18"/>
      <c r="V51" s="19"/>
      <c r="W51" s="19"/>
      <c r="X51" s="51"/>
      <c r="Y51" s="31"/>
      <c r="Z51" s="31"/>
      <c r="AA51" s="51"/>
      <c r="AB51" s="31"/>
      <c r="AC51" s="51"/>
      <c r="AD51" s="25"/>
      <c r="AE51" s="16"/>
      <c r="AF51" s="16"/>
    </row>
    <row r="52" spans="1:32">
      <c r="A52" s="3"/>
      <c r="B52" s="16"/>
      <c r="C52" s="16"/>
      <c r="D52" s="16" t="s">
        <v>37</v>
      </c>
      <c r="E52" s="16"/>
      <c r="F52" s="16"/>
      <c r="G52" s="25"/>
      <c r="H52" s="22">
        <v>0</v>
      </c>
      <c r="I52" s="22"/>
      <c r="J52" s="22"/>
      <c r="K52" s="22">
        <v>0</v>
      </c>
      <c r="L52" s="22"/>
      <c r="M52" s="22"/>
      <c r="N52" s="122"/>
      <c r="O52" s="22"/>
      <c r="P52" s="22"/>
      <c r="Q52" s="22"/>
      <c r="V52" s="19"/>
      <c r="W52" s="19"/>
      <c r="X52" s="22"/>
      <c r="Y52" s="20"/>
      <c r="Z52" s="20"/>
      <c r="AA52" s="20"/>
      <c r="AB52" s="20"/>
      <c r="AC52" s="22"/>
      <c r="AD52" s="25"/>
      <c r="AE52" s="16"/>
      <c r="AF52" s="16"/>
    </row>
    <row r="53" spans="1:32" ht="14.25" customHeight="1">
      <c r="A53" s="3"/>
      <c r="B53" s="16"/>
      <c r="C53" s="16"/>
      <c r="D53" s="16" t="s">
        <v>38</v>
      </c>
      <c r="E53" s="16"/>
      <c r="F53" s="16"/>
      <c r="G53" s="25"/>
      <c r="H53" s="22">
        <v>0</v>
      </c>
      <c r="I53" s="22"/>
      <c r="J53" s="22"/>
      <c r="K53" s="22">
        <v>0</v>
      </c>
      <c r="L53" s="22"/>
      <c r="M53" s="22"/>
      <c r="N53" s="122"/>
      <c r="O53" s="22"/>
      <c r="P53" s="22"/>
      <c r="Q53" s="22"/>
      <c r="S53" s="39"/>
      <c r="T53" s="39"/>
      <c r="V53" s="19"/>
      <c r="W53" s="19"/>
      <c r="X53" s="22"/>
      <c r="Y53" s="20"/>
      <c r="Z53" s="20"/>
      <c r="AA53" s="20"/>
      <c r="AB53" s="20"/>
      <c r="AC53" s="22"/>
      <c r="AD53" s="25"/>
      <c r="AE53" s="16"/>
      <c r="AF53" s="16"/>
    </row>
    <row r="54" spans="1:32" ht="13.5" customHeight="1">
      <c r="A54" s="3"/>
      <c r="B54" s="16"/>
      <c r="C54" s="16"/>
      <c r="D54" s="15" t="s">
        <v>39</v>
      </c>
      <c r="E54" s="16"/>
      <c r="F54" s="16"/>
      <c r="G54" s="25"/>
      <c r="H54" s="21">
        <v>0</v>
      </c>
      <c r="I54" s="22"/>
      <c r="J54" s="22"/>
      <c r="K54" s="21">
        <v>0</v>
      </c>
      <c r="L54" s="22"/>
      <c r="M54" s="22"/>
      <c r="N54" s="123"/>
      <c r="O54" s="22"/>
      <c r="P54" s="22"/>
      <c r="Q54" s="22"/>
      <c r="S54" s="39"/>
      <c r="T54" s="39"/>
      <c r="V54" s="19"/>
      <c r="W54" s="19"/>
      <c r="X54" s="22"/>
      <c r="Y54" s="20"/>
      <c r="Z54" s="20"/>
      <c r="AA54" s="20"/>
      <c r="AB54" s="20"/>
      <c r="AC54" s="22"/>
      <c r="AD54" s="25"/>
      <c r="AE54" s="16"/>
      <c r="AF54" s="16"/>
    </row>
    <row r="55" spans="1:32" ht="13.5" customHeight="1">
      <c r="A55" s="3"/>
      <c r="B55" s="16"/>
      <c r="C55" s="16"/>
      <c r="D55" s="16" t="s">
        <v>57</v>
      </c>
      <c r="E55" s="16"/>
      <c r="F55" s="16"/>
      <c r="G55" s="25"/>
      <c r="H55" s="22">
        <f>SUM(H38:H54)</f>
        <v>1176024912.3699999</v>
      </c>
      <c r="I55" s="22"/>
      <c r="J55" s="22"/>
      <c r="K55" s="22">
        <f>SUM(K38:K54)</f>
        <v>121682282.41</v>
      </c>
      <c r="L55" s="22"/>
      <c r="M55" s="22"/>
      <c r="N55" s="122">
        <f>SUM(N38:N54)</f>
        <v>1297707194.78</v>
      </c>
      <c r="O55" s="22"/>
      <c r="P55" s="22"/>
      <c r="Q55" s="22"/>
      <c r="R55" s="43"/>
      <c r="S55" s="39"/>
      <c r="T55" s="65"/>
      <c r="U55" s="65"/>
      <c r="V55" s="25"/>
      <c r="W55" s="25"/>
      <c r="X55" s="25"/>
      <c r="Y55" s="20"/>
      <c r="Z55" s="20"/>
      <c r="AA55" s="20"/>
      <c r="AB55" s="20"/>
      <c r="AC55" s="22"/>
      <c r="AD55" s="25"/>
      <c r="AE55" s="16"/>
      <c r="AF55" s="16"/>
    </row>
    <row r="56" spans="1:32">
      <c r="A56" s="3"/>
      <c r="B56" s="16" t="s">
        <v>40</v>
      </c>
      <c r="C56" s="16"/>
      <c r="D56" s="16"/>
      <c r="E56" s="16"/>
      <c r="F56" s="16"/>
      <c r="G56" s="25"/>
      <c r="H56" s="21">
        <v>0</v>
      </c>
      <c r="I56" s="22"/>
      <c r="J56" s="22"/>
      <c r="K56" s="21">
        <v>0</v>
      </c>
      <c r="L56" s="22"/>
      <c r="M56" s="22"/>
      <c r="N56" s="123">
        <v>0</v>
      </c>
      <c r="O56" s="22"/>
      <c r="P56" s="22"/>
      <c r="Q56" s="22"/>
      <c r="S56" s="54"/>
      <c r="T56" s="54"/>
      <c r="U56" s="54"/>
      <c r="V56" s="55"/>
      <c r="W56" s="55"/>
      <c r="X56" s="55"/>
      <c r="Y56" s="22"/>
      <c r="Z56" s="22"/>
      <c r="AA56" s="22"/>
      <c r="AB56" s="22"/>
      <c r="AC56" s="51"/>
      <c r="AD56" s="25"/>
      <c r="AE56" s="16"/>
      <c r="AF56" s="16"/>
    </row>
    <row r="57" spans="1:32" ht="15" customHeight="1">
      <c r="A57" s="3"/>
      <c r="B57" s="28" t="s">
        <v>41</v>
      </c>
      <c r="C57" s="28"/>
      <c r="D57" s="16"/>
      <c r="E57" s="16"/>
      <c r="F57" s="16"/>
      <c r="G57" s="25"/>
      <c r="H57" s="22">
        <f>+H55-H56</f>
        <v>1176024912.3699999</v>
      </c>
      <c r="I57" s="22"/>
      <c r="J57" s="22"/>
      <c r="K57" s="22">
        <f>+K55-K56</f>
        <v>121682282.41</v>
      </c>
      <c r="L57" s="22"/>
      <c r="M57" s="22"/>
      <c r="N57" s="122">
        <f>+N55-N56</f>
        <v>1297707194.78</v>
      </c>
      <c r="O57" s="22"/>
      <c r="P57" s="119"/>
      <c r="Q57" s="22"/>
      <c r="R57" s="43"/>
      <c r="S57" s="56"/>
      <c r="T57" s="60"/>
      <c r="U57" s="61"/>
      <c r="V57" s="61"/>
      <c r="W57" s="61"/>
      <c r="X57" s="55"/>
      <c r="Y57" s="20"/>
      <c r="Z57" s="20"/>
      <c r="AA57" s="20"/>
      <c r="AB57" s="20"/>
      <c r="AC57" s="22"/>
      <c r="AD57" s="25"/>
      <c r="AE57" s="16"/>
      <c r="AF57" s="16"/>
    </row>
    <row r="58" spans="1:32" ht="15" customHeight="1">
      <c r="A58" s="3"/>
      <c r="B58" s="16" t="s">
        <v>56</v>
      </c>
      <c r="C58" s="16"/>
      <c r="D58" s="16" t="s">
        <v>163</v>
      </c>
      <c r="E58" s="16"/>
      <c r="F58" s="16"/>
      <c r="G58" s="25"/>
      <c r="H58" s="22">
        <f>-0.04-209773795.28-0.97-1.45</f>
        <v>-209773797.73999998</v>
      </c>
      <c r="I58" s="22"/>
      <c r="J58" s="22"/>
      <c r="K58" s="22">
        <v>0</v>
      </c>
      <c r="L58" s="22"/>
      <c r="M58" s="22"/>
      <c r="N58" s="122">
        <f>-0.04-209773795.28-0.97-1.45</f>
        <v>-209773797.73999998</v>
      </c>
      <c r="O58" s="22"/>
      <c r="P58" s="119"/>
      <c r="Q58" s="22"/>
      <c r="S58" s="56"/>
      <c r="T58" s="60"/>
      <c r="U58" s="61"/>
      <c r="V58" s="61"/>
      <c r="W58" s="61"/>
      <c r="X58" s="55"/>
      <c r="Y58" s="20"/>
      <c r="Z58" s="20"/>
      <c r="AA58" s="20"/>
      <c r="AB58" s="20"/>
      <c r="AC58" s="22"/>
      <c r="AD58" s="25"/>
      <c r="AE58" s="16"/>
      <c r="AF58" s="16"/>
    </row>
    <row r="59" spans="1:32" ht="15" customHeight="1">
      <c r="A59" s="3"/>
      <c r="B59" s="16"/>
      <c r="C59" s="16"/>
      <c r="D59" s="16" t="s">
        <v>164</v>
      </c>
      <c r="E59" s="16"/>
      <c r="F59" s="16"/>
      <c r="G59" s="25"/>
      <c r="H59" s="22">
        <v>-118987443.34999999</v>
      </c>
      <c r="I59" s="22"/>
      <c r="J59" s="22"/>
      <c r="K59" s="22">
        <v>0</v>
      </c>
      <c r="L59" s="22"/>
      <c r="M59" s="22"/>
      <c r="N59" s="122">
        <v>-118987443.34999999</v>
      </c>
      <c r="O59" s="22"/>
      <c r="P59" s="119"/>
      <c r="Q59" s="22"/>
      <c r="S59" s="56"/>
      <c r="T59" s="60"/>
      <c r="U59" s="61"/>
      <c r="V59" s="61"/>
      <c r="W59" s="61"/>
      <c r="X59" s="55"/>
      <c r="Y59" s="20"/>
      <c r="Z59" s="20"/>
      <c r="AA59" s="20"/>
      <c r="AB59" s="20"/>
      <c r="AC59" s="22"/>
      <c r="AD59" s="25"/>
      <c r="AE59" s="16"/>
      <c r="AF59" s="16"/>
    </row>
    <row r="60" spans="1:32" ht="15" customHeight="1">
      <c r="A60" s="3"/>
      <c r="B60" s="16"/>
      <c r="C60" s="16"/>
      <c r="D60" s="16" t="s">
        <v>200</v>
      </c>
      <c r="E60" s="16"/>
      <c r="F60" s="16"/>
      <c r="G60" s="25"/>
      <c r="H60" s="22">
        <f>-91490030.72-5090</f>
        <v>-91495120.719999999</v>
      </c>
      <c r="I60" s="22"/>
      <c r="J60" s="22"/>
      <c r="K60" s="22">
        <v>0</v>
      </c>
      <c r="L60" s="22"/>
      <c r="M60" s="22"/>
      <c r="N60" s="122">
        <f>-91490030.72-5090</f>
        <v>-91495120.719999999</v>
      </c>
      <c r="O60" s="22"/>
      <c r="P60" s="119"/>
      <c r="Q60" s="22"/>
      <c r="S60" s="56"/>
      <c r="T60" s="60"/>
      <c r="U60" s="61"/>
      <c r="V60" s="61"/>
      <c r="W60" s="61"/>
      <c r="X60" s="55"/>
      <c r="Y60" s="20"/>
      <c r="Z60" s="20"/>
      <c r="AA60" s="20"/>
      <c r="AB60" s="20"/>
      <c r="AC60" s="22"/>
      <c r="AD60" s="25"/>
      <c r="AE60" s="16"/>
      <c r="AF60" s="16"/>
    </row>
    <row r="61" spans="1:32" ht="16.5" customHeight="1">
      <c r="A61" s="3"/>
      <c r="B61" s="16"/>
      <c r="C61" s="16"/>
      <c r="D61" s="16" t="s">
        <v>75</v>
      </c>
      <c r="E61" s="16"/>
      <c r="F61" s="16"/>
      <c r="G61" s="25"/>
      <c r="H61" s="22">
        <f>-459395578.34+2329.06+10762.5-62226344.04-113777643.87+5090-40991009.88</f>
        <v>-676372394.57000005</v>
      </c>
      <c r="I61" s="22"/>
      <c r="J61" s="22"/>
      <c r="K61" s="22">
        <f>-AF31</f>
        <v>-62280278.729999997</v>
      </c>
      <c r="L61" s="22"/>
      <c r="M61" s="22"/>
      <c r="N61" s="122">
        <f>-41435530.02-30432815.6-88102173.2+256000-29927199.49-97107198.84-141799344.64-(30847316.55-2329.06-10762.5)-62226344.04-113777643.87+5090-40991009.88-62280278.73</f>
        <v>-738652673.30000007</v>
      </c>
      <c r="O61" s="22"/>
      <c r="P61" s="119"/>
      <c r="Q61" s="22"/>
      <c r="R61" s="43"/>
      <c r="S61" s="57"/>
      <c r="T61" s="61"/>
      <c r="U61" s="61"/>
      <c r="V61" s="40"/>
      <c r="W61" s="40"/>
      <c r="X61" s="55"/>
      <c r="Y61" s="20"/>
      <c r="Z61" s="20"/>
      <c r="AA61" s="20"/>
      <c r="AB61" s="20"/>
      <c r="AC61" s="22"/>
      <c r="AD61" s="25"/>
      <c r="AE61" s="16"/>
      <c r="AF61" s="16"/>
    </row>
    <row r="62" spans="1:32" ht="13.5" customHeight="1">
      <c r="A62" s="3"/>
      <c r="B62" s="28" t="s">
        <v>61</v>
      </c>
      <c r="C62" s="28"/>
      <c r="D62" s="28"/>
      <c r="E62" s="28"/>
      <c r="F62" s="28"/>
      <c r="G62" s="124"/>
      <c r="H62" s="105">
        <f>SUM(H57:H61)</f>
        <v>79396155.989999771</v>
      </c>
      <c r="I62" s="34"/>
      <c r="J62" s="34"/>
      <c r="K62" s="105">
        <f>SUM(K57:K61)</f>
        <v>59402003.68</v>
      </c>
      <c r="L62" s="34"/>
      <c r="M62" s="51"/>
      <c r="N62" s="125">
        <f>SUM(N57:N61)</f>
        <v>138798159.66999984</v>
      </c>
      <c r="O62" s="22"/>
      <c r="P62" s="119"/>
      <c r="Q62" s="34"/>
      <c r="R62" s="18"/>
      <c r="S62" s="57"/>
      <c r="T62" s="61"/>
      <c r="U62" s="61"/>
      <c r="V62" s="40"/>
      <c r="W62" s="40"/>
      <c r="X62" s="55"/>
      <c r="AC62" s="18"/>
    </row>
    <row r="63" spans="1:32" ht="11.25" customHeight="1">
      <c r="A63" s="3"/>
      <c r="B63" s="28"/>
      <c r="C63" s="28"/>
      <c r="D63" s="28"/>
      <c r="E63" s="28"/>
      <c r="F63" s="28"/>
      <c r="G63" s="124"/>
      <c r="H63" s="34"/>
      <c r="I63" s="34"/>
      <c r="J63" s="34"/>
      <c r="K63" s="34"/>
      <c r="L63" s="34"/>
      <c r="M63" s="51"/>
      <c r="N63" s="128"/>
      <c r="O63" s="22"/>
      <c r="P63" s="51"/>
      <c r="Q63" s="34"/>
      <c r="R63" s="18"/>
      <c r="S63" s="57"/>
      <c r="T63" s="61"/>
      <c r="U63" s="61"/>
      <c r="V63" s="40"/>
      <c r="W63" s="40"/>
      <c r="X63" s="55"/>
      <c r="AC63" s="18"/>
    </row>
    <row r="64" spans="1:32" ht="13.5" customHeight="1">
      <c r="A64" s="3"/>
      <c r="B64" s="28" t="s">
        <v>74</v>
      </c>
      <c r="C64" s="28"/>
      <c r="D64" s="28"/>
      <c r="E64" s="28"/>
      <c r="F64" s="28"/>
      <c r="G64" s="124"/>
      <c r="H64" s="34">
        <f>101246000+101587000+174589000+131372000+139608000+137278000+137295000+156633000+168315000+393798000</f>
        <v>1641721000</v>
      </c>
      <c r="I64" s="34"/>
      <c r="J64" s="34"/>
      <c r="K64" s="118">
        <v>174329000</v>
      </c>
      <c r="L64" s="118"/>
      <c r="M64" s="119"/>
      <c r="N64" s="126">
        <f>101246000+101587000+174589000+131372000+139608000+137278000+137295000+156633000+168315000+393798000+174329000</f>
        <v>1816050000</v>
      </c>
      <c r="O64" s="22"/>
      <c r="P64" s="119"/>
      <c r="Q64" s="118"/>
      <c r="R64" s="18"/>
      <c r="S64" s="57"/>
      <c r="T64" s="61"/>
      <c r="U64" s="61"/>
      <c r="V64" s="40"/>
      <c r="W64" s="40"/>
      <c r="X64" s="55"/>
      <c r="AC64" s="18"/>
    </row>
    <row r="65" spans="1:29" ht="13.5" customHeight="1">
      <c r="A65" s="3"/>
      <c r="B65" s="16" t="s">
        <v>99</v>
      </c>
      <c r="C65" s="28"/>
      <c r="D65" s="28"/>
      <c r="E65" s="28"/>
      <c r="F65" s="28"/>
      <c r="G65" s="124"/>
      <c r="H65" s="107">
        <f>+H61</f>
        <v>-676372394.57000005</v>
      </c>
      <c r="I65" s="107"/>
      <c r="J65" s="107"/>
      <c r="K65" s="140">
        <f>+K61</f>
        <v>-62280278.729999997</v>
      </c>
      <c r="L65" s="107"/>
      <c r="M65" s="22"/>
      <c r="N65" s="127">
        <f>+N61</f>
        <v>-738652673.30000007</v>
      </c>
      <c r="O65" s="22"/>
      <c r="P65" s="22"/>
      <c r="Q65" s="107"/>
      <c r="S65" s="57"/>
      <c r="T65" s="61"/>
      <c r="U65" s="61"/>
      <c r="V65" s="40"/>
      <c r="W65" s="40"/>
      <c r="X65" s="55"/>
      <c r="AC65" s="18"/>
    </row>
    <row r="66" spans="1:29" ht="13.5" customHeight="1">
      <c r="A66" s="3"/>
      <c r="B66" s="28" t="s">
        <v>43</v>
      </c>
      <c r="C66" s="28"/>
      <c r="D66" s="28"/>
      <c r="E66" s="28"/>
      <c r="F66" s="28"/>
      <c r="G66" s="124"/>
      <c r="H66" s="105">
        <f>+H64+H65</f>
        <v>965348605.42999995</v>
      </c>
      <c r="I66" s="34"/>
      <c r="J66" s="34"/>
      <c r="K66" s="141">
        <f>+K64+K65</f>
        <v>112048721.27000001</v>
      </c>
      <c r="L66" s="34"/>
      <c r="M66" s="34"/>
      <c r="N66" s="125">
        <f>+N64+N65:N65</f>
        <v>1077397326.6999998</v>
      </c>
      <c r="O66" s="22"/>
      <c r="P66" s="51"/>
      <c r="Q66" s="34"/>
      <c r="S66" s="57"/>
      <c r="T66" s="61"/>
      <c r="U66" s="61"/>
      <c r="V66" s="40"/>
      <c r="W66" s="40"/>
      <c r="X66" s="55"/>
      <c r="AC66" s="18"/>
    </row>
    <row r="67" spans="1:29" ht="13.5" customHeight="1">
      <c r="A67" s="3"/>
      <c r="B67" s="121" t="s">
        <v>42</v>
      </c>
      <c r="C67" s="121"/>
      <c r="D67" s="16"/>
      <c r="E67" s="28"/>
      <c r="F67" s="28"/>
      <c r="G67" s="124"/>
      <c r="H67" s="34"/>
      <c r="I67" s="34"/>
      <c r="J67" s="34"/>
      <c r="K67" s="34"/>
      <c r="L67" s="34"/>
      <c r="M67" s="34"/>
      <c r="N67" s="128"/>
      <c r="O67" s="34"/>
      <c r="P67" s="51"/>
      <c r="Q67" s="22"/>
      <c r="S67" s="57"/>
      <c r="T67" s="61"/>
      <c r="U67" s="61"/>
      <c r="V67" s="40"/>
      <c r="W67" s="40"/>
      <c r="X67" s="55"/>
      <c r="AC67" s="18"/>
    </row>
    <row r="68" spans="1:29" ht="13.5" customHeight="1">
      <c r="A68" s="3"/>
      <c r="B68" s="121" t="s">
        <v>73</v>
      </c>
      <c r="C68" s="121"/>
      <c r="D68" s="16"/>
      <c r="E68" s="28"/>
      <c r="F68" s="28"/>
      <c r="G68" s="124"/>
      <c r="H68" s="34"/>
      <c r="I68" s="34"/>
      <c r="J68" s="34"/>
      <c r="K68" s="34"/>
      <c r="L68" s="34"/>
      <c r="M68" s="34"/>
      <c r="N68" s="128"/>
      <c r="O68" s="34"/>
      <c r="P68" s="34"/>
      <c r="S68" s="57"/>
      <c r="T68" s="61"/>
      <c r="U68" s="61"/>
      <c r="V68" s="40"/>
      <c r="W68" s="40"/>
      <c r="X68" s="45"/>
      <c r="AC68" s="18"/>
    </row>
    <row r="69" spans="1:29" ht="13.5" customHeight="1">
      <c r="A69" s="5"/>
      <c r="B69" s="129"/>
      <c r="C69" s="129" t="s">
        <v>102</v>
      </c>
      <c r="D69" s="15"/>
      <c r="E69" s="130"/>
      <c r="F69" s="130"/>
      <c r="G69" s="131"/>
      <c r="H69" s="132"/>
      <c r="I69" s="132"/>
      <c r="J69" s="132"/>
      <c r="K69" s="132"/>
      <c r="L69" s="132"/>
      <c r="M69" s="132"/>
      <c r="N69" s="133"/>
      <c r="O69" s="16"/>
      <c r="P69" s="16"/>
      <c r="S69" s="57"/>
      <c r="T69" s="61"/>
      <c r="U69" s="61"/>
      <c r="V69" s="40"/>
      <c r="W69" s="40"/>
      <c r="X69" s="45"/>
      <c r="AC69" s="18"/>
    </row>
    <row r="70" spans="1:29" ht="15" customHeight="1">
      <c r="B70" s="26"/>
      <c r="C70" s="26"/>
      <c r="H70" s="20"/>
      <c r="I70" s="20"/>
      <c r="J70" s="20"/>
      <c r="K70" s="20"/>
      <c r="M70" s="20"/>
      <c r="N70" s="20"/>
      <c r="O70" s="134"/>
      <c r="P70" s="16"/>
      <c r="S70" s="56"/>
      <c r="T70" s="60"/>
      <c r="U70" s="61"/>
      <c r="V70" s="40"/>
      <c r="W70" s="63"/>
      <c r="X70" s="45"/>
    </row>
    <row r="71" spans="1:29" ht="15" customHeight="1">
      <c r="B71" s="26"/>
      <c r="C71" s="26"/>
      <c r="D71" s="26"/>
      <c r="H71" s="20"/>
      <c r="I71" s="20"/>
      <c r="J71" s="20"/>
      <c r="K71" s="20"/>
      <c r="M71" s="20"/>
      <c r="N71" s="20"/>
      <c r="O71" s="43"/>
      <c r="S71" s="56"/>
      <c r="T71" s="61"/>
      <c r="U71" s="61"/>
      <c r="V71" s="40"/>
      <c r="W71" s="40"/>
      <c r="X71" s="45"/>
    </row>
    <row r="72" spans="1:29" ht="15" customHeight="1">
      <c r="B72" s="16"/>
      <c r="C72" s="16"/>
      <c r="D72" s="16"/>
      <c r="E72" s="16"/>
      <c r="F72" s="38"/>
      <c r="K72" s="20"/>
      <c r="L72" s="38"/>
      <c r="N72" s="22"/>
      <c r="O72" s="18"/>
      <c r="P72" s="18"/>
      <c r="S72" s="56"/>
      <c r="T72" s="60"/>
      <c r="U72" s="61"/>
      <c r="V72" s="62"/>
      <c r="W72" s="61"/>
      <c r="X72" s="45"/>
    </row>
    <row r="73" spans="1:29" ht="15" customHeight="1">
      <c r="B73" s="28"/>
      <c r="C73" s="28"/>
      <c r="D73" s="16"/>
      <c r="E73" s="16"/>
      <c r="K73" s="20"/>
      <c r="N73" s="51"/>
      <c r="S73" s="57"/>
      <c r="T73" s="61"/>
      <c r="U73" s="61"/>
      <c r="V73" s="40"/>
      <c r="W73" s="40"/>
      <c r="X73" s="45"/>
    </row>
    <row r="74" spans="1:29">
      <c r="K74" s="20"/>
      <c r="N74" s="22"/>
      <c r="S74" s="57"/>
      <c r="T74" s="61"/>
      <c r="U74" s="61"/>
      <c r="V74" s="40"/>
      <c r="W74" s="40"/>
      <c r="X74" s="16"/>
    </row>
    <row r="75" spans="1:29">
      <c r="K75" s="20"/>
      <c r="N75" s="22"/>
      <c r="S75" s="57"/>
      <c r="T75" s="57"/>
      <c r="U75" s="57"/>
      <c r="V75" s="40"/>
      <c r="W75" s="50"/>
    </row>
    <row r="76" spans="1:29">
      <c r="K76" s="20"/>
      <c r="S76" s="56"/>
      <c r="T76" s="56"/>
      <c r="U76" s="57"/>
      <c r="V76" s="62"/>
      <c r="W76" s="57"/>
    </row>
    <row r="77" spans="1:29">
      <c r="K77" s="20"/>
      <c r="M77" s="22"/>
      <c r="N77" s="59"/>
      <c r="S77" s="26"/>
    </row>
    <row r="78" spans="1:29">
      <c r="K78" s="20"/>
      <c r="M78" s="22"/>
      <c r="N78" s="22"/>
    </row>
    <row r="79" spans="1:29">
      <c r="K79" s="20"/>
      <c r="M79" s="22"/>
      <c r="N79" s="22"/>
      <c r="T79" s="39" t="s">
        <v>78</v>
      </c>
      <c r="U79" s="39"/>
      <c r="X79" s="19"/>
      <c r="Y79" s="18"/>
    </row>
    <row r="80" spans="1:29">
      <c r="K80" s="43"/>
      <c r="M80" s="22"/>
      <c r="N80" s="22"/>
      <c r="T80" s="54" t="s">
        <v>64</v>
      </c>
      <c r="U80" s="54"/>
      <c r="V80" s="45"/>
      <c r="W80" s="45"/>
      <c r="X80" s="55"/>
    </row>
    <row r="81" spans="11:29">
      <c r="K81" s="19"/>
      <c r="M81" s="22"/>
      <c r="N81" s="22"/>
      <c r="T81" s="56" t="s">
        <v>238</v>
      </c>
      <c r="U81" s="57"/>
      <c r="V81" s="57"/>
      <c r="W81" s="57"/>
      <c r="X81" s="58"/>
      <c r="Y81" s="18"/>
    </row>
    <row r="82" spans="11:29">
      <c r="K82" s="19"/>
      <c r="M82" s="22"/>
      <c r="N82" s="22"/>
      <c r="T82" s="56"/>
      <c r="U82" s="57"/>
      <c r="V82" s="57"/>
      <c r="W82" s="57"/>
      <c r="X82" s="117"/>
      <c r="Y82" s="91" t="s">
        <v>239</v>
      </c>
      <c r="AB82" s="95" t="s">
        <v>95</v>
      </c>
    </row>
    <row r="83" spans="11:29">
      <c r="K83" s="19"/>
      <c r="M83" s="22"/>
      <c r="N83" s="22"/>
      <c r="S83" s="82" t="s">
        <v>82</v>
      </c>
      <c r="T83" s="83"/>
      <c r="U83" s="84"/>
      <c r="V83" s="103"/>
      <c r="W83" s="84"/>
      <c r="X83" s="85"/>
      <c r="Y83" s="86" t="s">
        <v>182</v>
      </c>
      <c r="AB83" s="112" t="s">
        <v>242</v>
      </c>
    </row>
    <row r="84" spans="11:29">
      <c r="K84" s="19"/>
      <c r="M84" s="22"/>
      <c r="N84" s="22"/>
      <c r="S84" s="89" t="s">
        <v>83</v>
      </c>
      <c r="T84" s="60" t="s">
        <v>80</v>
      </c>
      <c r="U84" s="61" t="s">
        <v>4</v>
      </c>
      <c r="V84" s="40">
        <v>37304</v>
      </c>
      <c r="W84" s="40"/>
      <c r="X84" s="69"/>
      <c r="Y84" s="79"/>
      <c r="AB84" s="96"/>
    </row>
    <row r="85" spans="11:29">
      <c r="K85" s="19"/>
      <c r="M85" s="22"/>
      <c r="N85" s="22"/>
      <c r="S85" s="72"/>
      <c r="T85" s="61"/>
      <c r="U85" s="61" t="s">
        <v>5</v>
      </c>
      <c r="V85" s="40">
        <v>39021</v>
      </c>
      <c r="W85" s="40"/>
      <c r="X85" s="69"/>
      <c r="Y85" s="79"/>
      <c r="AB85" s="96"/>
    </row>
    <row r="86" spans="11:29">
      <c r="K86" s="19"/>
      <c r="M86" s="22"/>
      <c r="N86" s="22"/>
      <c r="S86" s="72"/>
      <c r="T86" s="61"/>
      <c r="U86" s="61" t="s">
        <v>7</v>
      </c>
      <c r="V86" s="48">
        <v>23750</v>
      </c>
      <c r="W86" s="40">
        <f>SUM(V84:V86)</f>
        <v>100075</v>
      </c>
      <c r="X86" s="69"/>
      <c r="Y86" s="80">
        <f>+W86</f>
        <v>100075</v>
      </c>
      <c r="Z86" s="18"/>
      <c r="AB86" s="96"/>
    </row>
    <row r="87" spans="11:29">
      <c r="K87" s="19"/>
      <c r="M87" s="22"/>
      <c r="N87" s="22"/>
      <c r="S87" s="72"/>
      <c r="T87" s="61" t="s">
        <v>158</v>
      </c>
      <c r="U87" s="61" t="s">
        <v>7</v>
      </c>
      <c r="V87" s="40"/>
      <c r="W87" s="40">
        <v>17863</v>
      </c>
      <c r="X87" s="69"/>
      <c r="Y87" s="80"/>
      <c r="Z87" s="18"/>
      <c r="AB87" s="96"/>
    </row>
    <row r="88" spans="11:29">
      <c r="K88" s="19"/>
      <c r="M88" s="22"/>
      <c r="N88" s="22"/>
      <c r="S88" s="72"/>
      <c r="T88" s="61" t="s">
        <v>159</v>
      </c>
      <c r="U88" s="61" t="s">
        <v>7</v>
      </c>
      <c r="V88" s="40"/>
      <c r="W88" s="40">
        <v>2560</v>
      </c>
      <c r="X88" s="69"/>
      <c r="Y88" s="80"/>
      <c r="Z88" s="18"/>
      <c r="AB88" s="96"/>
    </row>
    <row r="89" spans="11:29">
      <c r="K89" s="19"/>
      <c r="M89" s="22"/>
      <c r="N89" s="22"/>
      <c r="S89" s="72"/>
      <c r="T89" s="60" t="s">
        <v>116</v>
      </c>
      <c r="U89" s="61" t="s">
        <v>5</v>
      </c>
      <c r="V89" s="40"/>
      <c r="W89" s="40">
        <v>3900</v>
      </c>
      <c r="X89" s="73"/>
      <c r="Y89" s="80">
        <f>+W89</f>
        <v>3900</v>
      </c>
      <c r="Z89" s="18"/>
      <c r="AB89" s="96"/>
    </row>
    <row r="90" spans="11:29">
      <c r="K90" s="19"/>
      <c r="M90" s="22"/>
      <c r="N90" s="22"/>
      <c r="P90" s="43"/>
      <c r="S90" s="70" t="s">
        <v>81</v>
      </c>
      <c r="T90" s="60"/>
      <c r="U90" s="61"/>
      <c r="V90" s="40"/>
      <c r="W90" s="40"/>
      <c r="X90" s="73"/>
      <c r="Y90" s="80"/>
      <c r="Z90" s="18"/>
      <c r="AB90" s="96"/>
    </row>
    <row r="91" spans="11:29">
      <c r="K91" s="19"/>
      <c r="M91" s="22"/>
      <c r="N91" s="22"/>
      <c r="P91" s="43"/>
      <c r="S91" s="72"/>
      <c r="T91" s="60" t="s">
        <v>89</v>
      </c>
      <c r="U91" s="61" t="s">
        <v>4</v>
      </c>
      <c r="V91" s="40">
        <v>0</v>
      </c>
      <c r="W91" s="40"/>
      <c r="X91" s="73"/>
      <c r="Y91" s="80">
        <v>0</v>
      </c>
      <c r="Z91" s="93"/>
      <c r="AA91" s="94"/>
      <c r="AB91" s="110">
        <v>0</v>
      </c>
      <c r="AC91" s="88" t="s">
        <v>98</v>
      </c>
    </row>
    <row r="92" spans="11:29">
      <c r="K92" s="19"/>
      <c r="M92" s="22"/>
      <c r="N92" s="22"/>
      <c r="P92" s="43"/>
      <c r="S92" s="72"/>
      <c r="T92" s="60" t="s">
        <v>90</v>
      </c>
      <c r="U92" s="61" t="s">
        <v>5</v>
      </c>
      <c r="V92" s="48">
        <v>0</v>
      </c>
      <c r="W92" s="40">
        <f>+V91+V92</f>
        <v>0</v>
      </c>
      <c r="X92" s="73"/>
      <c r="Y92" s="80">
        <v>0</v>
      </c>
      <c r="AB92" s="96"/>
    </row>
    <row r="93" spans="11:29">
      <c r="K93" s="19"/>
      <c r="M93" s="22"/>
      <c r="N93" s="22"/>
      <c r="P93" s="43"/>
      <c r="S93" s="60" t="s">
        <v>91</v>
      </c>
      <c r="T93" s="60"/>
      <c r="U93" s="61" t="s">
        <v>4</v>
      </c>
      <c r="V93" s="40"/>
      <c r="W93" s="48">
        <v>2026</v>
      </c>
      <c r="X93" s="71">
        <f>SUM(W86:W93)</f>
        <v>126424</v>
      </c>
      <c r="Y93" s="80">
        <f>+W93</f>
        <v>2026</v>
      </c>
      <c r="Z93" s="88" t="s">
        <v>63</v>
      </c>
      <c r="AB93" s="96"/>
    </row>
    <row r="94" spans="11:29">
      <c r="K94" s="19"/>
      <c r="M94" s="51"/>
      <c r="N94" s="34"/>
      <c r="S94" s="90" t="s">
        <v>84</v>
      </c>
      <c r="T94" s="60"/>
      <c r="U94" s="61"/>
      <c r="V94" s="40"/>
      <c r="W94" s="40"/>
      <c r="X94" s="69"/>
      <c r="Y94" s="79"/>
      <c r="AB94" s="96"/>
    </row>
    <row r="95" spans="11:29">
      <c r="K95" s="19"/>
      <c r="M95" s="51"/>
      <c r="N95" s="34"/>
      <c r="S95" s="87"/>
      <c r="T95" s="60" t="s">
        <v>93</v>
      </c>
      <c r="U95" s="61" t="s">
        <v>4</v>
      </c>
      <c r="V95" s="40"/>
      <c r="W95" s="40">
        <v>0</v>
      </c>
      <c r="X95" s="73"/>
      <c r="Y95" s="80">
        <f>+W95</f>
        <v>0</v>
      </c>
      <c r="AB95" s="96"/>
    </row>
    <row r="96" spans="11:29">
      <c r="K96" s="19"/>
      <c r="M96" s="22"/>
      <c r="N96" s="107"/>
      <c r="S96" s="87"/>
      <c r="T96" s="60" t="s">
        <v>148</v>
      </c>
      <c r="U96" s="61" t="s">
        <v>4</v>
      </c>
      <c r="V96" s="40">
        <v>0</v>
      </c>
      <c r="W96" s="40"/>
      <c r="X96" s="69"/>
      <c r="Y96" s="80">
        <v>0</v>
      </c>
      <c r="AB96" s="96"/>
    </row>
    <row r="97" spans="11:29">
      <c r="K97" s="19"/>
      <c r="M97" s="34"/>
      <c r="N97" s="34"/>
      <c r="S97" s="87"/>
      <c r="T97" s="60"/>
      <c r="U97" s="61" t="s">
        <v>5</v>
      </c>
      <c r="V97" s="48">
        <v>236</v>
      </c>
      <c r="W97" s="40">
        <f>SUM(V96:V97)</f>
        <v>236</v>
      </c>
      <c r="X97" s="69"/>
      <c r="Y97" s="80">
        <f>+W97</f>
        <v>236</v>
      </c>
      <c r="AB97" s="96"/>
    </row>
    <row r="98" spans="11:29">
      <c r="K98" s="19"/>
      <c r="M98" s="34"/>
      <c r="N98" s="34"/>
      <c r="S98" s="87"/>
      <c r="T98" s="60" t="s">
        <v>85</v>
      </c>
      <c r="U98" s="61"/>
      <c r="V98" s="40"/>
      <c r="W98" s="40"/>
      <c r="X98" s="69"/>
      <c r="Y98" s="80"/>
      <c r="AB98" s="96"/>
    </row>
    <row r="99" spans="11:29">
      <c r="K99" s="19"/>
      <c r="M99" s="34"/>
      <c r="N99" s="34"/>
      <c r="S99" s="87"/>
      <c r="T99" s="60"/>
      <c r="U99" s="61" t="s">
        <v>4</v>
      </c>
      <c r="V99" s="40">
        <v>0</v>
      </c>
      <c r="W99" s="40"/>
      <c r="X99" s="69"/>
      <c r="Y99" s="80"/>
      <c r="AB99" s="96"/>
    </row>
    <row r="100" spans="11:29">
      <c r="K100" s="19"/>
      <c r="M100" s="34"/>
      <c r="N100" s="34"/>
      <c r="S100" s="87"/>
      <c r="T100" s="60"/>
      <c r="U100" s="61" t="s">
        <v>5</v>
      </c>
      <c r="V100" s="40">
        <v>0</v>
      </c>
      <c r="W100" s="40"/>
      <c r="X100" s="69"/>
      <c r="Y100" s="80"/>
      <c r="AB100" s="96"/>
    </row>
    <row r="101" spans="11:29">
      <c r="K101" s="19"/>
      <c r="M101" s="34"/>
      <c r="N101" s="34"/>
      <c r="S101" s="87"/>
      <c r="T101" s="60"/>
      <c r="U101" s="61" t="s">
        <v>7</v>
      </c>
      <c r="V101" s="48">
        <v>0</v>
      </c>
      <c r="W101" s="40">
        <f>SUM(V99:V101)</f>
        <v>0</v>
      </c>
      <c r="X101" s="69"/>
      <c r="Y101" s="80">
        <f>+W101</f>
        <v>0</v>
      </c>
      <c r="AB101" s="96"/>
    </row>
    <row r="102" spans="11:29">
      <c r="K102" s="19"/>
      <c r="S102" s="87"/>
      <c r="T102" s="60" t="s">
        <v>171</v>
      </c>
      <c r="U102" s="61"/>
      <c r="V102" s="40"/>
      <c r="W102" s="40"/>
      <c r="X102" s="69"/>
      <c r="Y102" s="79"/>
      <c r="AB102" s="96"/>
    </row>
    <row r="103" spans="11:29">
      <c r="K103" s="19"/>
      <c r="S103" s="87"/>
      <c r="T103" s="60"/>
      <c r="U103" s="61" t="s">
        <v>7</v>
      </c>
      <c r="V103" s="48">
        <v>38011</v>
      </c>
      <c r="W103" s="48">
        <f>SUM(V103:V103)</f>
        <v>38011</v>
      </c>
      <c r="X103" s="74">
        <f>SUM(W95:W103)</f>
        <v>38247</v>
      </c>
      <c r="Y103" s="80"/>
      <c r="AB103" s="96"/>
    </row>
    <row r="104" spans="11:29">
      <c r="K104" s="19"/>
      <c r="S104" s="87"/>
      <c r="T104" s="60" t="s">
        <v>194</v>
      </c>
      <c r="U104" s="60"/>
      <c r="V104" s="63"/>
      <c r="W104" s="63"/>
      <c r="X104" s="73">
        <f>SUM(X93:X103)</f>
        <v>164671</v>
      </c>
      <c r="Y104" s="79"/>
      <c r="AB104" s="96"/>
    </row>
    <row r="105" spans="11:29">
      <c r="K105" s="19"/>
      <c r="S105" s="90" t="s">
        <v>87</v>
      </c>
      <c r="T105" s="61"/>
      <c r="U105" s="61" t="s">
        <v>4</v>
      </c>
      <c r="V105" s="40"/>
      <c r="W105" s="40">
        <v>4145</v>
      </c>
      <c r="X105" s="69"/>
      <c r="Y105" s="79"/>
      <c r="AB105" s="96"/>
    </row>
    <row r="106" spans="11:29">
      <c r="K106" s="19"/>
      <c r="S106" s="87"/>
      <c r="T106" s="61"/>
      <c r="U106" s="61" t="s">
        <v>5</v>
      </c>
      <c r="V106" s="40"/>
      <c r="W106" s="40">
        <v>2263</v>
      </c>
      <c r="X106" s="69"/>
      <c r="Y106" s="79"/>
      <c r="AB106" s="96"/>
    </row>
    <row r="107" spans="11:29">
      <c r="K107" s="19"/>
      <c r="S107" s="87"/>
      <c r="T107" s="61"/>
      <c r="U107" s="61" t="s">
        <v>7</v>
      </c>
      <c r="V107" s="40"/>
      <c r="W107" s="48">
        <v>3250</v>
      </c>
      <c r="X107" s="74">
        <f>SUM(W105:W107)</f>
        <v>9658</v>
      </c>
      <c r="Y107" s="104"/>
      <c r="AB107" s="98"/>
    </row>
    <row r="108" spans="11:29">
      <c r="K108" s="19"/>
      <c r="S108" s="90" t="s">
        <v>88</v>
      </c>
      <c r="T108" s="60"/>
      <c r="U108" s="61"/>
      <c r="V108" s="62"/>
      <c r="W108" s="68"/>
      <c r="X108" s="73">
        <f>+X104+X107</f>
        <v>174329</v>
      </c>
      <c r="Y108" s="166">
        <f>SUM(Y86:Y103)</f>
        <v>106237</v>
      </c>
      <c r="Z108" s="88" t="s">
        <v>225</v>
      </c>
      <c r="AB108" s="111">
        <f>SUM(AB86:AB107)</f>
        <v>0</v>
      </c>
      <c r="AC108" s="88" t="s">
        <v>244</v>
      </c>
    </row>
    <row r="109" spans="11:29">
      <c r="K109" s="19"/>
      <c r="S109" s="75"/>
      <c r="T109" s="76"/>
      <c r="U109" s="76"/>
      <c r="V109" s="76"/>
      <c r="W109" s="77"/>
      <c r="X109" s="78"/>
      <c r="Y109" s="167">
        <v>7116.57</v>
      </c>
      <c r="Z109" t="s">
        <v>240</v>
      </c>
      <c r="AB109" s="98"/>
    </row>
    <row r="110" spans="11:29">
      <c r="K110" s="19"/>
      <c r="X110" s="43"/>
      <c r="Y110" s="168">
        <f>+Y108+Y109</f>
        <v>113353.57</v>
      </c>
      <c r="AB110" s="43">
        <f>+(Y108+AB108)*1000+(Y109*1000)</f>
        <v>113353570</v>
      </c>
      <c r="AC110" t="s">
        <v>243</v>
      </c>
    </row>
    <row r="111" spans="11:29">
      <c r="K111" s="19"/>
      <c r="W111" s="18"/>
      <c r="X111" s="43"/>
      <c r="Y111" s="43" t="s">
        <v>241</v>
      </c>
      <c r="AB111" s="18"/>
    </row>
    <row r="112" spans="11:29">
      <c r="K112" s="19"/>
      <c r="X112" s="43"/>
      <c r="Y112" s="43"/>
    </row>
    <row r="113" spans="11:25">
      <c r="K113" s="19"/>
      <c r="X113" s="43"/>
      <c r="Y113" s="19"/>
    </row>
    <row r="114" spans="11:25">
      <c r="X114" s="43"/>
    </row>
    <row r="115" spans="11:25">
      <c r="X115" s="43"/>
    </row>
  </sheetData>
  <mergeCells count="12">
    <mergeCell ref="AB12:AF12"/>
    <mergeCell ref="Z36:AA36"/>
    <mergeCell ref="A2:R2"/>
    <mergeCell ref="A3:R3"/>
    <mergeCell ref="G12:K12"/>
    <mergeCell ref="L12:V12"/>
    <mergeCell ref="X12:AA12"/>
    <mergeCell ref="A13:F13"/>
    <mergeCell ref="L13:P13"/>
    <mergeCell ref="Q13:U13"/>
    <mergeCell ref="A15:F15"/>
    <mergeCell ref="W36:Y36"/>
  </mergeCells>
  <printOptions horizontalCentered="1"/>
  <pageMargins left="0" right="0" top="0.19" bottom="0" header="0.17" footer="0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16"/>
  <sheetViews>
    <sheetView tabSelected="1" workbookViewId="0">
      <selection activeCell="A27" sqref="A27"/>
    </sheetView>
  </sheetViews>
  <sheetFormatPr defaultRowHeight="15"/>
  <cols>
    <col min="1" max="1" width="1.28515625" customWidth="1"/>
    <col min="2" max="3" width="5.140625" customWidth="1"/>
    <col min="4" max="4" width="34" customWidth="1"/>
    <col min="5" max="5" width="1.28515625" customWidth="1"/>
    <col min="6" max="6" width="8.42578125" customWidth="1"/>
    <col min="7" max="7" width="12.7109375" customWidth="1"/>
    <col min="8" max="8" width="13.85546875" customWidth="1"/>
    <col min="9" max="9" width="8.7109375" customWidth="1"/>
    <col min="10" max="11" width="13.140625" customWidth="1"/>
    <col min="12" max="12" width="13.28515625" customWidth="1"/>
    <col min="13" max="13" width="12.85546875" customWidth="1"/>
    <col min="14" max="14" width="14.5703125" customWidth="1"/>
    <col min="15" max="15" width="13.7109375" customWidth="1"/>
    <col min="16" max="17" width="15" customWidth="1"/>
    <col min="18" max="18" width="12" customWidth="1"/>
    <col min="19" max="19" width="7.85546875" customWidth="1"/>
    <col min="20" max="20" width="14" customWidth="1"/>
    <col min="21" max="21" width="12" customWidth="1"/>
    <col min="22" max="22" width="13" customWidth="1"/>
    <col min="23" max="23" width="14" customWidth="1"/>
    <col min="24" max="24" width="10" customWidth="1"/>
    <col min="25" max="25" width="14.7109375" customWidth="1"/>
    <col min="26" max="26" width="8.28515625" customWidth="1"/>
    <col min="27" max="27" width="8.85546875" customWidth="1"/>
    <col min="28" max="28" width="13.28515625" customWidth="1"/>
    <col min="29" max="29" width="13.5703125" customWidth="1"/>
    <col min="30" max="30" width="8.140625" customWidth="1"/>
    <col min="31" max="31" width="12" customWidth="1"/>
    <col min="32" max="32" width="13.28515625" customWidth="1"/>
    <col min="33" max="33" width="9.140625" customWidth="1"/>
    <col min="34" max="34" width="14.28515625" bestFit="1" customWidth="1"/>
    <col min="36" max="36" width="18.28515625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86" t="s">
        <v>248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 ht="7.5" customHeight="1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42">
        <v>2288882.42</v>
      </c>
      <c r="H18" s="188">
        <f>21306996.31-4835.5</f>
        <v>21302160.809999999</v>
      </c>
      <c r="I18" s="32">
        <v>0</v>
      </c>
      <c r="J18" s="32">
        <v>17095650</v>
      </c>
      <c r="K18" s="32">
        <f>SUM(G18:J18)</f>
        <v>40686693.229999997</v>
      </c>
      <c r="L18" s="42">
        <v>0</v>
      </c>
      <c r="M18" s="42">
        <v>2885655.69</v>
      </c>
      <c r="N18" s="42">
        <v>0</v>
      </c>
      <c r="O18" s="42">
        <v>3986015.72</v>
      </c>
      <c r="P18" s="32">
        <f>SUM(L18:O18)</f>
        <v>6871671.4100000001</v>
      </c>
      <c r="Q18" s="32">
        <v>0</v>
      </c>
      <c r="R18" s="32">
        <v>2137627.31</v>
      </c>
      <c r="S18" s="32">
        <v>0</v>
      </c>
      <c r="T18" s="32">
        <v>15383287.6</v>
      </c>
      <c r="U18" s="32">
        <f>SUM(Q18:T18)</f>
        <v>17520914.91</v>
      </c>
      <c r="V18" s="32">
        <f>+P18+U18</f>
        <v>24392586.32</v>
      </c>
      <c r="W18" s="32">
        <f>+K18+V18</f>
        <v>65079279.549999997</v>
      </c>
      <c r="X18" s="32"/>
      <c r="Y18" s="32"/>
      <c r="Z18" s="32"/>
      <c r="AA18" s="32">
        <f>SUM(X18:Z18)</f>
        <v>0</v>
      </c>
      <c r="AB18" s="32">
        <f>+G18+L18+Q18+X18</f>
        <v>2288882.42</v>
      </c>
      <c r="AC18" s="42">
        <f>+H18+M18+R18+Y18</f>
        <v>26325443.809999999</v>
      </c>
      <c r="AD18" s="32">
        <f>+I18+N18+S18</f>
        <v>0</v>
      </c>
      <c r="AE18" s="32">
        <f>+J18+O18+T18+Z18</f>
        <v>36464953.32</v>
      </c>
      <c r="AF18" s="32">
        <f>SUM(AB18:AE18)</f>
        <v>65079279.549999997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38079168.25</v>
      </c>
      <c r="H19" s="32">
        <v>15989875.529999999</v>
      </c>
      <c r="I19" s="32">
        <v>0</v>
      </c>
      <c r="J19" s="188">
        <f>3852369.7-3660803.57</f>
        <v>191566.13000000035</v>
      </c>
      <c r="K19" s="32">
        <f t="shared" ref="K19:K29" si="0">SUM(G19:J19)</f>
        <v>54260609.910000004</v>
      </c>
      <c r="L19" s="32">
        <v>0</v>
      </c>
      <c r="M19" s="32">
        <v>106901.11</v>
      </c>
      <c r="N19" s="32">
        <v>0</v>
      </c>
      <c r="O19" s="188">
        <f>0+3660803.57</f>
        <v>3660803.57</v>
      </c>
      <c r="P19" s="32">
        <f t="shared" ref="P19:P29" si="1">SUM(L19:O19)</f>
        <v>3767704.6799999997</v>
      </c>
      <c r="Q19" s="32">
        <v>0</v>
      </c>
      <c r="R19" s="32">
        <v>1381807.6</v>
      </c>
      <c r="S19" s="32">
        <v>0</v>
      </c>
      <c r="T19" s="32">
        <v>430489.64</v>
      </c>
      <c r="U19" s="32">
        <f t="shared" ref="U19:U29" si="2">SUM(Q19:T19)</f>
        <v>1812297.2400000002</v>
      </c>
      <c r="V19" s="32">
        <f t="shared" ref="V19:V29" si="3">+P19+U19</f>
        <v>5580001.9199999999</v>
      </c>
      <c r="W19" s="32">
        <f t="shared" ref="W19:W29" si="4">+K19+V19</f>
        <v>59840611.830000006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38079168.25</v>
      </c>
      <c r="AC19" s="32">
        <f t="shared" si="6"/>
        <v>17478584.239999998</v>
      </c>
      <c r="AD19" s="32">
        <f t="shared" ref="AD19:AD29" si="7">+I19+N19+S19</f>
        <v>0</v>
      </c>
      <c r="AE19" s="32">
        <f t="shared" ref="AE19:AE29" si="8">+J19+O19+T19+Z19</f>
        <v>4282859.34</v>
      </c>
      <c r="AF19" s="32">
        <f t="shared" ref="AF19:AF29" si="9">SUM(AB19:AE19)</f>
        <v>59840611.829999998</v>
      </c>
      <c r="AG19" s="10"/>
      <c r="AH19" s="18">
        <f t="shared" ref="AH19:AH29" si="10">+W19+AA19-AF19</f>
        <v>0</v>
      </c>
      <c r="AJ19" s="66">
        <f>+AF18+AF19</f>
        <v>124919891.38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5132894.67</v>
      </c>
      <c r="H23" s="42">
        <v>1917767.62</v>
      </c>
      <c r="I23" s="42">
        <v>0</v>
      </c>
      <c r="J23" s="42">
        <v>11321.87</v>
      </c>
      <c r="K23" s="42">
        <f t="shared" si="0"/>
        <v>7061984.1600000001</v>
      </c>
      <c r="L23" s="42">
        <v>0</v>
      </c>
      <c r="M23" s="42">
        <v>513018.19</v>
      </c>
      <c r="N23" s="42">
        <v>0</v>
      </c>
      <c r="O23" s="42">
        <v>746491.26</v>
      </c>
      <c r="P23" s="42">
        <f t="shared" si="1"/>
        <v>1259509.45</v>
      </c>
      <c r="Q23" s="42">
        <v>0</v>
      </c>
      <c r="R23" s="42">
        <v>149689.57</v>
      </c>
      <c r="S23" s="42">
        <v>0</v>
      </c>
      <c r="T23" s="42">
        <v>535729.18999999994</v>
      </c>
      <c r="U23" s="42">
        <f t="shared" si="2"/>
        <v>685418.76</v>
      </c>
      <c r="V23" s="42">
        <f t="shared" si="3"/>
        <v>1944928.21</v>
      </c>
      <c r="W23" s="42">
        <f t="shared" si="4"/>
        <v>9006912.370000001</v>
      </c>
      <c r="X23" s="42"/>
      <c r="Y23" s="42"/>
      <c r="Z23" s="42"/>
      <c r="AA23" s="42">
        <f t="shared" si="5"/>
        <v>0</v>
      </c>
      <c r="AB23" s="42">
        <f t="shared" si="6"/>
        <v>5132894.67</v>
      </c>
      <c r="AC23" s="42">
        <f t="shared" si="6"/>
        <v>2580475.38</v>
      </c>
      <c r="AD23" s="42">
        <f t="shared" si="7"/>
        <v>0</v>
      </c>
      <c r="AE23" s="42">
        <f t="shared" si="8"/>
        <v>1293542.3199999998</v>
      </c>
      <c r="AF23" s="42">
        <f t="shared" si="9"/>
        <v>9006912.3699999992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124919891.38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45500945.340000004</v>
      </c>
      <c r="H31" s="33">
        <f t="shared" ref="H31:AH31" si="11">SUM(H18:H29)</f>
        <v>39209803.959999993</v>
      </c>
      <c r="I31" s="33">
        <f t="shared" si="11"/>
        <v>0</v>
      </c>
      <c r="J31" s="33">
        <f t="shared" si="11"/>
        <v>17298538</v>
      </c>
      <c r="K31" s="33">
        <f t="shared" si="11"/>
        <v>102009287.3</v>
      </c>
      <c r="L31" s="33">
        <f t="shared" si="11"/>
        <v>0</v>
      </c>
      <c r="M31" s="33">
        <f t="shared" si="11"/>
        <v>3505574.9899999998</v>
      </c>
      <c r="N31" s="33">
        <f t="shared" si="11"/>
        <v>0</v>
      </c>
      <c r="O31" s="33">
        <f t="shared" si="11"/>
        <v>8393310.5500000007</v>
      </c>
      <c r="P31" s="33">
        <f t="shared" si="11"/>
        <v>11898885.539999999</v>
      </c>
      <c r="Q31" s="33">
        <f t="shared" si="11"/>
        <v>0</v>
      </c>
      <c r="R31" s="33">
        <f t="shared" si="11"/>
        <v>3669124.48</v>
      </c>
      <c r="S31" s="33">
        <f t="shared" si="11"/>
        <v>0</v>
      </c>
      <c r="T31" s="33">
        <f t="shared" si="11"/>
        <v>16349506.43</v>
      </c>
      <c r="U31" s="33">
        <f t="shared" si="11"/>
        <v>20018630.91</v>
      </c>
      <c r="V31" s="33">
        <f t="shared" si="11"/>
        <v>31917516.450000003</v>
      </c>
      <c r="W31" s="33">
        <f t="shared" si="11"/>
        <v>133926803.75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45500945.340000004</v>
      </c>
      <c r="AC31" s="33">
        <f t="shared" si="11"/>
        <v>46384503.43</v>
      </c>
      <c r="AD31" s="33">
        <f t="shared" si="11"/>
        <v>0</v>
      </c>
      <c r="AE31" s="33">
        <f t="shared" si="11"/>
        <v>42041354.979999997</v>
      </c>
      <c r="AF31" s="33">
        <f t="shared" si="11"/>
        <v>133926803.75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5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ht="6.75" customHeight="1">
      <c r="B34" s="136"/>
    </row>
    <row r="35" spans="1:34" ht="7.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</row>
    <row r="36" spans="1:34">
      <c r="A36" s="3"/>
      <c r="B36" s="28" t="s">
        <v>33</v>
      </c>
      <c r="C36" s="28"/>
      <c r="D36" s="16"/>
      <c r="E36" s="16"/>
      <c r="F36" s="16"/>
      <c r="G36" s="116" t="s">
        <v>249</v>
      </c>
      <c r="H36" s="116"/>
      <c r="I36" s="116"/>
      <c r="J36" s="134"/>
      <c r="K36" s="116" t="s">
        <v>250</v>
      </c>
      <c r="L36" s="116"/>
      <c r="M36" s="16"/>
      <c r="N36" s="170" t="s">
        <v>251</v>
      </c>
      <c r="P36" s="16"/>
      <c r="Q36" s="169"/>
      <c r="T36" s="16"/>
      <c r="U36" s="16"/>
      <c r="V36" s="16"/>
      <c r="W36" s="176"/>
      <c r="X36" s="176"/>
      <c r="Y36" s="176"/>
      <c r="Z36" s="179"/>
      <c r="AA36" s="179"/>
      <c r="AB36" s="16"/>
      <c r="AC36" s="16"/>
      <c r="AE36" s="18"/>
    </row>
    <row r="37" spans="1:34" ht="18.75">
      <c r="A37" s="3"/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/>
      <c r="O37" s="16"/>
      <c r="P37" s="16"/>
      <c r="Q37" s="16"/>
      <c r="T37" s="16"/>
      <c r="U37" s="16"/>
      <c r="V37" s="16"/>
      <c r="W37" s="106"/>
      <c r="X37" s="22"/>
      <c r="Y37" s="22"/>
      <c r="Z37" s="22"/>
      <c r="AA37" s="22"/>
      <c r="AB37" s="22"/>
      <c r="AC37" s="22"/>
      <c r="AD37" s="43"/>
      <c r="AH37" s="18"/>
    </row>
    <row r="38" spans="1:34">
      <c r="A38" s="3"/>
      <c r="B38" s="16"/>
      <c r="C38" s="16"/>
      <c r="D38" s="16" t="s">
        <v>103</v>
      </c>
      <c r="E38" s="16"/>
      <c r="F38" s="16"/>
      <c r="G38" s="25"/>
      <c r="H38" s="22">
        <f>SUM(G39:G49)</f>
        <v>1230351875</v>
      </c>
      <c r="I38" s="22"/>
      <c r="J38" s="22"/>
      <c r="K38" s="59">
        <f>SUM(J39:J49)</f>
        <v>116964000</v>
      </c>
      <c r="L38" s="22"/>
      <c r="M38" s="22"/>
      <c r="N38" s="120">
        <f>SUM(M39:M49)</f>
        <v>1347315875</v>
      </c>
      <c r="O38" s="22"/>
      <c r="P38" s="59"/>
      <c r="Q38" s="59"/>
      <c r="R38" s="43"/>
      <c r="T38" s="16"/>
      <c r="U38" s="16"/>
      <c r="V38" s="25"/>
      <c r="W38" s="25"/>
      <c r="X38" s="22"/>
      <c r="Y38" s="22"/>
      <c r="Z38" s="22"/>
      <c r="AA38" s="22"/>
      <c r="AB38" s="22"/>
      <c r="AC38" s="22"/>
      <c r="AD38" s="43"/>
    </row>
    <row r="39" spans="1:34">
      <c r="A39" s="3"/>
      <c r="B39" s="16"/>
      <c r="C39" s="16"/>
      <c r="D39" s="121" t="s">
        <v>97</v>
      </c>
      <c r="E39" s="16"/>
      <c r="F39" s="16"/>
      <c r="G39" s="22">
        <v>711376000</v>
      </c>
      <c r="H39" s="22"/>
      <c r="I39" s="22"/>
      <c r="J39" s="40">
        <v>0</v>
      </c>
      <c r="K39" s="22"/>
      <c r="L39" s="22"/>
      <c r="M39" s="22">
        <f>89000000+93488000+163160000+120179000+128747000+116802000</f>
        <v>711376000</v>
      </c>
      <c r="N39" s="122"/>
      <c r="O39" s="22"/>
      <c r="P39" s="59"/>
      <c r="Q39" s="59"/>
      <c r="T39" s="16"/>
      <c r="U39" s="16"/>
      <c r="V39" s="25"/>
      <c r="W39" s="25"/>
      <c r="X39" s="51"/>
      <c r="Y39" s="51"/>
      <c r="Z39" s="51"/>
      <c r="AA39" s="51"/>
      <c r="AB39" s="51"/>
      <c r="AC39" s="51"/>
      <c r="AD39" s="19"/>
    </row>
    <row r="40" spans="1:34">
      <c r="A40" s="3"/>
      <c r="B40" s="16"/>
      <c r="C40" s="16"/>
      <c r="D40" s="121" t="s">
        <v>100</v>
      </c>
      <c r="E40" s="16"/>
      <c r="F40" s="16"/>
      <c r="G40" s="22">
        <v>12152000</v>
      </c>
      <c r="H40" s="22"/>
      <c r="I40" s="22"/>
      <c r="J40" s="22">
        <v>0</v>
      </c>
      <c r="K40" s="22"/>
      <c r="L40" s="22"/>
      <c r="M40" s="22">
        <f>2026000+2025000+2025000+2026000+2025000+2025000</f>
        <v>12152000</v>
      </c>
      <c r="N40" s="122"/>
      <c r="O40" s="22"/>
      <c r="P40" s="59"/>
      <c r="Q40" s="59"/>
      <c r="T40" t="s">
        <v>44</v>
      </c>
      <c r="V40" s="20"/>
      <c r="W40" s="20"/>
      <c r="X40" s="20"/>
      <c r="Y40" s="20"/>
      <c r="Z40" t="s">
        <v>47</v>
      </c>
      <c r="AA40" s="20"/>
      <c r="AB40" s="51"/>
      <c r="AC40" s="51"/>
      <c r="AD40" s="19"/>
    </row>
    <row r="41" spans="1:34">
      <c r="A41" s="3"/>
      <c r="B41" s="16"/>
      <c r="C41" s="16"/>
      <c r="D41" s="121" t="s">
        <v>167</v>
      </c>
      <c r="E41" s="16"/>
      <c r="F41" s="16"/>
      <c r="G41" s="22">
        <f>79358000+89441000+100687000+112077000+104211000</f>
        <v>485774000</v>
      </c>
      <c r="H41" s="22"/>
      <c r="I41" s="22"/>
      <c r="J41" s="22">
        <v>114939000</v>
      </c>
      <c r="K41" s="22"/>
      <c r="L41" s="22"/>
      <c r="M41" s="22">
        <f>79358000+89441000+100687000+112077000+104211000+114939000</f>
        <v>600713000</v>
      </c>
      <c r="N41" s="122"/>
      <c r="O41" s="22"/>
      <c r="P41" s="59"/>
      <c r="Q41" s="59"/>
      <c r="V41" s="20"/>
      <c r="W41" s="20"/>
      <c r="X41" s="20"/>
      <c r="Y41" s="20"/>
      <c r="AA41" s="20"/>
      <c r="AB41" s="51"/>
      <c r="AC41" s="51"/>
      <c r="AD41" s="19"/>
    </row>
    <row r="42" spans="1:34">
      <c r="A42" s="3"/>
      <c r="B42" s="16"/>
      <c r="C42" s="16"/>
      <c r="D42" s="121" t="s">
        <v>168</v>
      </c>
      <c r="E42" s="16"/>
      <c r="F42" s="16"/>
      <c r="G42" s="22">
        <f>2026000+2026000+2025000+2026000+2026000</f>
        <v>10129000</v>
      </c>
      <c r="H42" s="22"/>
      <c r="I42" s="22"/>
      <c r="J42" s="22">
        <v>2025000</v>
      </c>
      <c r="K42" s="22"/>
      <c r="L42" s="22"/>
      <c r="M42" s="22">
        <f>2026000+2026000+2025000+2026000+2026000+2025000</f>
        <v>12154000</v>
      </c>
      <c r="N42" s="122"/>
      <c r="O42" s="22"/>
      <c r="P42" s="59"/>
      <c r="Q42" s="59"/>
      <c r="V42" s="20"/>
      <c r="W42" s="20"/>
      <c r="X42" s="20"/>
      <c r="Y42" s="20"/>
      <c r="AA42" s="20"/>
      <c r="AB42" s="51"/>
      <c r="AC42" s="51"/>
      <c r="AD42" s="19"/>
    </row>
    <row r="43" spans="1:34">
      <c r="A43" s="3"/>
      <c r="B43" s="16"/>
      <c r="C43" s="16"/>
      <c r="D43" s="121" t="s">
        <v>236</v>
      </c>
      <c r="E43" s="16"/>
      <c r="F43" s="16"/>
      <c r="G43" s="22">
        <f>0+7116570</f>
        <v>7116570</v>
      </c>
      <c r="H43" s="22"/>
      <c r="I43" s="22"/>
      <c r="J43" s="22">
        <v>0</v>
      </c>
      <c r="K43" s="22"/>
      <c r="L43" s="22"/>
      <c r="M43" s="22">
        <v>7116570</v>
      </c>
      <c r="N43" s="122"/>
      <c r="O43" s="22"/>
      <c r="P43" s="59"/>
      <c r="Q43" s="59"/>
      <c r="V43" s="20"/>
      <c r="W43" s="20"/>
      <c r="X43" s="20"/>
      <c r="Y43" s="20"/>
      <c r="AA43" s="20"/>
      <c r="AB43" s="51"/>
      <c r="AC43" s="51"/>
      <c r="AD43" s="19"/>
    </row>
    <row r="44" spans="1:34">
      <c r="A44" s="3"/>
      <c r="B44" s="16"/>
      <c r="C44" s="16"/>
      <c r="D44" s="16" t="s">
        <v>104</v>
      </c>
      <c r="E44" s="16"/>
      <c r="F44" s="16"/>
      <c r="G44" s="22"/>
      <c r="H44" s="22"/>
      <c r="I44" s="22"/>
      <c r="J44" s="22">
        <v>0</v>
      </c>
      <c r="K44" s="22"/>
      <c r="L44" s="22"/>
      <c r="M44" s="22"/>
      <c r="N44" s="122"/>
      <c r="O44" s="22"/>
      <c r="P44" s="59"/>
      <c r="Q44" s="59"/>
      <c r="V44" s="20"/>
      <c r="W44" s="20"/>
      <c r="X44" s="20"/>
      <c r="Y44" s="20"/>
      <c r="AA44" s="20"/>
      <c r="AB44" s="31"/>
      <c r="AC44" s="51"/>
      <c r="AD44" s="19"/>
    </row>
    <row r="45" spans="1:34">
      <c r="A45" s="3"/>
      <c r="B45" s="16"/>
      <c r="C45" s="16"/>
      <c r="D45" s="121" t="s">
        <v>105</v>
      </c>
      <c r="E45" s="16"/>
      <c r="F45" s="16"/>
      <c r="G45" s="22">
        <f>94823+94698</f>
        <v>189521</v>
      </c>
      <c r="H45" s="22"/>
      <c r="I45" s="22"/>
      <c r="J45" s="22">
        <v>0</v>
      </c>
      <c r="K45" s="22"/>
      <c r="L45" s="22"/>
      <c r="M45" s="22">
        <f>94823+94698</f>
        <v>189521</v>
      </c>
      <c r="N45" s="122"/>
      <c r="O45" s="22"/>
      <c r="P45" s="59"/>
      <c r="Q45" s="59"/>
      <c r="T45" s="38" t="s">
        <v>49</v>
      </c>
      <c r="V45" s="19"/>
      <c r="W45" s="19"/>
      <c r="X45" s="19"/>
      <c r="Z45" s="38" t="s">
        <v>72</v>
      </c>
      <c r="AB45" s="31"/>
      <c r="AC45" s="51"/>
      <c r="AD45" s="19"/>
    </row>
    <row r="46" spans="1:34">
      <c r="A46" s="3"/>
      <c r="B46" s="16"/>
      <c r="C46" s="16"/>
      <c r="D46" s="121" t="s">
        <v>129</v>
      </c>
      <c r="E46" s="16"/>
      <c r="F46" s="16"/>
      <c r="G46" s="22">
        <v>85598</v>
      </c>
      <c r="H46" s="22"/>
      <c r="I46" s="22"/>
      <c r="J46" s="22">
        <v>0</v>
      </c>
      <c r="K46" s="22"/>
      <c r="L46" s="22"/>
      <c r="M46" s="22">
        <v>85598</v>
      </c>
      <c r="N46" s="122"/>
      <c r="O46" s="22"/>
      <c r="P46" s="59"/>
      <c r="Q46" s="59"/>
      <c r="T46" t="s">
        <v>46</v>
      </c>
      <c r="V46" s="19"/>
      <c r="W46" s="19"/>
      <c r="X46" s="19"/>
      <c r="Z46" t="s">
        <v>71</v>
      </c>
      <c r="AB46" s="31"/>
      <c r="AC46" s="51"/>
      <c r="AD46" s="19"/>
    </row>
    <row r="47" spans="1:34">
      <c r="A47" s="3"/>
      <c r="B47" s="16"/>
      <c r="C47" s="16"/>
      <c r="D47" s="121" t="s">
        <v>130</v>
      </c>
      <c r="E47" s="16"/>
      <c r="F47" s="16"/>
      <c r="G47" s="22">
        <v>670162</v>
      </c>
      <c r="H47" s="22"/>
      <c r="I47" s="22"/>
      <c r="J47" s="22">
        <v>0</v>
      </c>
      <c r="K47" s="22"/>
      <c r="L47" s="22"/>
      <c r="M47" s="22">
        <v>670162</v>
      </c>
      <c r="N47" s="122"/>
      <c r="O47" s="22"/>
      <c r="P47" s="59"/>
      <c r="Q47" s="59"/>
      <c r="T47" t="s">
        <v>45</v>
      </c>
      <c r="V47" s="19"/>
      <c r="W47" s="19"/>
      <c r="X47" s="19"/>
      <c r="Z47" t="s">
        <v>48</v>
      </c>
      <c r="AB47" s="31"/>
      <c r="AC47" s="51"/>
      <c r="AD47" s="19"/>
    </row>
    <row r="48" spans="1:34">
      <c r="A48" s="3"/>
      <c r="B48" s="16"/>
      <c r="C48" s="16"/>
      <c r="D48" s="121" t="s">
        <v>155</v>
      </c>
      <c r="E48" s="16"/>
      <c r="F48" s="16"/>
      <c r="G48" s="22">
        <v>2579959</v>
      </c>
      <c r="H48" s="22"/>
      <c r="I48" s="22"/>
      <c r="J48" s="22">
        <v>0</v>
      </c>
      <c r="K48" s="22"/>
      <c r="L48" s="22"/>
      <c r="M48" s="22">
        <v>2579959</v>
      </c>
      <c r="N48" s="122"/>
      <c r="O48" s="22"/>
      <c r="P48" s="59"/>
      <c r="Q48" s="59"/>
      <c r="V48" s="19"/>
      <c r="W48" s="19"/>
      <c r="X48" s="19"/>
      <c r="AB48" s="31"/>
      <c r="AC48" s="51"/>
      <c r="AD48" s="19"/>
    </row>
    <row r="49" spans="1:32">
      <c r="A49" s="3"/>
      <c r="B49" s="16"/>
      <c r="C49" s="16"/>
      <c r="D49" s="121" t="s">
        <v>231</v>
      </c>
      <c r="E49" s="16"/>
      <c r="F49" s="16"/>
      <c r="G49" s="165">
        <v>279065</v>
      </c>
      <c r="H49" s="22"/>
      <c r="I49" s="22"/>
      <c r="J49" s="165">
        <v>0</v>
      </c>
      <c r="K49" s="22"/>
      <c r="L49" s="22"/>
      <c r="M49" s="21">
        <v>279065</v>
      </c>
      <c r="N49" s="122"/>
      <c r="O49" s="22"/>
      <c r="P49" s="59"/>
      <c r="Q49" s="59"/>
      <c r="V49" s="19"/>
      <c r="W49" s="19"/>
      <c r="X49" s="19"/>
      <c r="AB49" s="31"/>
      <c r="AC49" s="51"/>
      <c r="AD49" s="19"/>
    </row>
    <row r="50" spans="1:32">
      <c r="A50" s="3"/>
      <c r="B50" s="16"/>
      <c r="C50" s="16"/>
      <c r="D50" s="16" t="s">
        <v>35</v>
      </c>
      <c r="E50" s="16"/>
      <c r="F50" s="16"/>
      <c r="G50" s="22"/>
      <c r="H50" s="22">
        <v>0</v>
      </c>
      <c r="I50" s="22"/>
      <c r="J50" s="22"/>
      <c r="K50" s="22">
        <v>0</v>
      </c>
      <c r="L50" s="22"/>
      <c r="M50" s="22"/>
      <c r="N50" s="122"/>
      <c r="O50" s="22"/>
      <c r="P50" s="59"/>
      <c r="Q50" s="59"/>
      <c r="V50" s="19"/>
      <c r="W50" s="19"/>
      <c r="X50" s="19"/>
      <c r="Z50" t="s">
        <v>45</v>
      </c>
      <c r="AB50" s="31"/>
      <c r="AC50" s="22"/>
      <c r="AD50" s="25"/>
      <c r="AE50" s="16"/>
      <c r="AF50" s="16"/>
    </row>
    <row r="51" spans="1:32">
      <c r="A51" s="3"/>
      <c r="B51" s="16"/>
      <c r="C51" s="16"/>
      <c r="D51" s="16" t="s">
        <v>36</v>
      </c>
      <c r="E51" s="16"/>
      <c r="F51" s="16"/>
      <c r="G51" s="25"/>
      <c r="H51" s="22">
        <f>21817245.73+6579604.91+4439371.24+5090156.83+8408763.85+6686363.94+6005100.87+8328712.41</f>
        <v>67355319.780000001</v>
      </c>
      <c r="I51" s="22"/>
      <c r="J51" s="22"/>
      <c r="K51" s="59">
        <f>+AF23</f>
        <v>9006912.3699999992</v>
      </c>
      <c r="L51" s="22"/>
      <c r="M51" s="22"/>
      <c r="N51" s="122">
        <f>6514818+3759574.58+7395098.56+4147754.59+6579604.91+4439371.24+5090156.83+8408763.85+6686363.94+6005100.87+8328712.41+9006912.37</f>
        <v>76362232.150000006</v>
      </c>
      <c r="O51" s="22"/>
      <c r="P51" s="59"/>
      <c r="Q51" s="59"/>
      <c r="R51" s="18"/>
      <c r="V51" s="19"/>
      <c r="W51" s="19"/>
      <c r="X51" s="51"/>
      <c r="Y51" s="31"/>
      <c r="Z51" s="31"/>
      <c r="AA51" s="51"/>
      <c r="AB51" s="31"/>
      <c r="AC51" s="51"/>
      <c r="AD51" s="25"/>
      <c r="AE51" s="16"/>
      <c r="AF51" s="16"/>
    </row>
    <row r="52" spans="1:32">
      <c r="A52" s="3"/>
      <c r="B52" s="16"/>
      <c r="C52" s="16"/>
      <c r="D52" s="16" t="s">
        <v>37</v>
      </c>
      <c r="E52" s="16"/>
      <c r="F52" s="16"/>
      <c r="G52" s="25"/>
      <c r="H52" s="22">
        <v>0</v>
      </c>
      <c r="I52" s="22"/>
      <c r="J52" s="22"/>
      <c r="K52" s="22">
        <v>0</v>
      </c>
      <c r="L52" s="22"/>
      <c r="M52" s="22"/>
      <c r="N52" s="122"/>
      <c r="O52" s="22"/>
      <c r="P52" s="59"/>
      <c r="Q52" s="59"/>
      <c r="V52" s="19"/>
      <c r="W52" s="19"/>
      <c r="X52" s="22"/>
      <c r="Y52" s="20"/>
      <c r="Z52" s="20"/>
      <c r="AA52" s="20"/>
      <c r="AB52" s="20"/>
      <c r="AC52" s="22"/>
      <c r="AD52" s="25"/>
      <c r="AE52" s="16"/>
      <c r="AF52" s="16"/>
    </row>
    <row r="53" spans="1:32" ht="14.25" customHeight="1">
      <c r="A53" s="3"/>
      <c r="B53" s="16"/>
      <c r="C53" s="16"/>
      <c r="D53" s="16" t="s">
        <v>38</v>
      </c>
      <c r="E53" s="16"/>
      <c r="F53" s="16"/>
      <c r="G53" s="25"/>
      <c r="H53" s="22">
        <v>0</v>
      </c>
      <c r="I53" s="22"/>
      <c r="J53" s="22"/>
      <c r="K53" s="22">
        <v>0</v>
      </c>
      <c r="L53" s="22"/>
      <c r="M53" s="22"/>
      <c r="N53" s="122"/>
      <c r="O53" s="22"/>
      <c r="P53" s="59"/>
      <c r="Q53" s="59"/>
      <c r="S53" s="39"/>
      <c r="T53" s="39"/>
      <c r="V53" s="19"/>
      <c r="W53" s="19"/>
      <c r="X53" s="22"/>
      <c r="Y53" s="20"/>
      <c r="Z53" s="20"/>
      <c r="AA53" s="20"/>
      <c r="AB53" s="20"/>
      <c r="AC53" s="22"/>
      <c r="AD53" s="25"/>
      <c r="AE53" s="16"/>
      <c r="AF53" s="16"/>
    </row>
    <row r="54" spans="1:32" ht="13.5" customHeight="1">
      <c r="A54" s="3"/>
      <c r="B54" s="16"/>
      <c r="C54" s="16"/>
      <c r="D54" s="15" t="s">
        <v>39</v>
      </c>
      <c r="E54" s="16"/>
      <c r="F54" s="16"/>
      <c r="G54" s="25"/>
      <c r="H54" s="21">
        <v>0</v>
      </c>
      <c r="I54" s="22"/>
      <c r="J54" s="22"/>
      <c r="K54" s="21">
        <v>0</v>
      </c>
      <c r="L54" s="22"/>
      <c r="M54" s="22"/>
      <c r="N54" s="123"/>
      <c r="O54" s="22"/>
      <c r="P54" s="59"/>
      <c r="Q54" s="59"/>
      <c r="S54" s="39"/>
      <c r="T54" s="39"/>
      <c r="V54" s="19"/>
      <c r="W54" s="19"/>
      <c r="X54" s="22"/>
      <c r="Y54" s="20"/>
      <c r="Z54" s="20"/>
      <c r="AA54" s="20"/>
      <c r="AB54" s="20"/>
      <c r="AC54" s="22"/>
      <c r="AD54" s="25"/>
      <c r="AE54" s="16"/>
      <c r="AF54" s="16"/>
    </row>
    <row r="55" spans="1:32" ht="13.5" customHeight="1">
      <c r="A55" s="3"/>
      <c r="B55" s="16"/>
      <c r="C55" s="16"/>
      <c r="D55" s="16" t="s">
        <v>57</v>
      </c>
      <c r="E55" s="16"/>
      <c r="F55" s="16"/>
      <c r="G55" s="25"/>
      <c r="H55" s="22">
        <f>SUM(H38:H54)</f>
        <v>1297707194.78</v>
      </c>
      <c r="I55" s="22"/>
      <c r="J55" s="22"/>
      <c r="K55" s="22">
        <f>SUM(K38:K54)</f>
        <v>125970912.37</v>
      </c>
      <c r="L55" s="22"/>
      <c r="M55" s="22"/>
      <c r="N55" s="122">
        <f>SUM(N38:N54)</f>
        <v>1423678107.1500001</v>
      </c>
      <c r="O55" s="22"/>
      <c r="P55" s="59"/>
      <c r="Q55" s="59"/>
      <c r="R55" s="43"/>
      <c r="S55" s="39"/>
      <c r="T55" s="65"/>
      <c r="U55" s="65"/>
      <c r="V55" s="25"/>
      <c r="W55" s="25"/>
      <c r="X55" s="25"/>
      <c r="Y55" s="20"/>
      <c r="Z55" s="20"/>
      <c r="AA55" s="20"/>
      <c r="AB55" s="20"/>
      <c r="AC55" s="22"/>
      <c r="AD55" s="25"/>
      <c r="AE55" s="16"/>
      <c r="AF55" s="16"/>
    </row>
    <row r="56" spans="1:32">
      <c r="A56" s="3"/>
      <c r="B56" s="16" t="s">
        <v>40</v>
      </c>
      <c r="C56" s="16"/>
      <c r="D56" s="16"/>
      <c r="E56" s="16"/>
      <c r="F56" s="16"/>
      <c r="G56" s="25"/>
      <c r="H56" s="21">
        <v>0</v>
      </c>
      <c r="I56" s="22"/>
      <c r="J56" s="22"/>
      <c r="K56" s="21">
        <v>0</v>
      </c>
      <c r="L56" s="22"/>
      <c r="M56" s="22"/>
      <c r="N56" s="123">
        <v>0</v>
      </c>
      <c r="O56" s="22"/>
      <c r="P56" s="59"/>
      <c r="Q56" s="59"/>
      <c r="S56" s="54"/>
      <c r="T56" s="54"/>
      <c r="U56" s="54"/>
      <c r="V56" s="55"/>
      <c r="W56" s="55"/>
      <c r="X56" s="55"/>
      <c r="Y56" s="22"/>
      <c r="Z56" s="22"/>
      <c r="AA56" s="22"/>
      <c r="AB56" s="22"/>
      <c r="AC56" s="51"/>
      <c r="AD56" s="25"/>
      <c r="AE56" s="16"/>
      <c r="AF56" s="16"/>
    </row>
    <row r="57" spans="1:32" ht="15" customHeight="1">
      <c r="A57" s="3"/>
      <c r="B57" s="28" t="s">
        <v>41</v>
      </c>
      <c r="C57" s="28"/>
      <c r="D57" s="16"/>
      <c r="E57" s="16"/>
      <c r="F57" s="16"/>
      <c r="G57" s="25"/>
      <c r="H57" s="22">
        <f>+H55-H56</f>
        <v>1297707194.78</v>
      </c>
      <c r="I57" s="22"/>
      <c r="J57" s="22"/>
      <c r="K57" s="22">
        <f>+K55-K56</f>
        <v>125970912.37</v>
      </c>
      <c r="L57" s="22"/>
      <c r="M57" s="22"/>
      <c r="N57" s="122">
        <f>+N55-N56</f>
        <v>1423678107.1500001</v>
      </c>
      <c r="O57" s="22"/>
      <c r="P57" s="59"/>
      <c r="Q57" s="59"/>
      <c r="R57" s="43"/>
      <c r="S57" s="56"/>
      <c r="T57" s="60"/>
      <c r="U57" s="61"/>
      <c r="V57" s="61"/>
      <c r="W57" s="61"/>
      <c r="X57" s="55"/>
      <c r="Y57" s="20"/>
      <c r="Z57" s="20"/>
      <c r="AA57" s="20"/>
      <c r="AB57" s="20"/>
      <c r="AC57" s="22"/>
      <c r="AD57" s="25"/>
      <c r="AE57" s="16"/>
      <c r="AF57" s="16"/>
    </row>
    <row r="58" spans="1:32" ht="15" customHeight="1">
      <c r="A58" s="3"/>
      <c r="B58" s="16" t="s">
        <v>56</v>
      </c>
      <c r="C58" s="16"/>
      <c r="D58" s="16" t="s">
        <v>163</v>
      </c>
      <c r="E58" s="16"/>
      <c r="F58" s="16"/>
      <c r="G58" s="25"/>
      <c r="H58" s="22">
        <f>-0.04-209773795.28-0.97-1.45</f>
        <v>-209773797.73999998</v>
      </c>
      <c r="I58" s="22"/>
      <c r="J58" s="22"/>
      <c r="K58" s="22">
        <v>0</v>
      </c>
      <c r="L58" s="22"/>
      <c r="M58" s="22"/>
      <c r="N58" s="122">
        <f>-0.04-209773795.28-0.97-1.45</f>
        <v>-209773797.73999998</v>
      </c>
      <c r="O58" s="22"/>
      <c r="P58" s="59"/>
      <c r="Q58" s="59"/>
      <c r="S58" s="56"/>
      <c r="T58" s="60"/>
      <c r="U58" s="61"/>
      <c r="V58" s="61"/>
      <c r="W58" s="61"/>
      <c r="X58" s="55"/>
      <c r="Y58" s="20"/>
      <c r="Z58" s="20"/>
      <c r="AA58" s="20"/>
      <c r="AB58" s="20"/>
      <c r="AC58" s="22"/>
      <c r="AD58" s="25"/>
      <c r="AE58" s="16"/>
      <c r="AF58" s="16"/>
    </row>
    <row r="59" spans="1:32" ht="15" customHeight="1">
      <c r="A59" s="3"/>
      <c r="B59" s="16"/>
      <c r="C59" s="16"/>
      <c r="D59" s="16" t="s">
        <v>164</v>
      </c>
      <c r="E59" s="16"/>
      <c r="F59" s="16"/>
      <c r="G59" s="25"/>
      <c r="H59" s="22">
        <v>-118987443.34999999</v>
      </c>
      <c r="I59" s="22"/>
      <c r="J59" s="22"/>
      <c r="K59" s="22">
        <v>0</v>
      </c>
      <c r="L59" s="22"/>
      <c r="M59" s="22"/>
      <c r="N59" s="122">
        <v>-118987443.34999999</v>
      </c>
      <c r="O59" s="22"/>
      <c r="P59" s="59"/>
      <c r="Q59" s="59"/>
      <c r="S59" s="56"/>
      <c r="T59" s="60"/>
      <c r="U59" s="61"/>
      <c r="V59" s="61"/>
      <c r="W59" s="61"/>
      <c r="X59" s="55"/>
      <c r="Y59" s="20"/>
      <c r="Z59" s="20"/>
      <c r="AA59" s="20"/>
      <c r="AB59" s="20"/>
      <c r="AC59" s="22"/>
      <c r="AD59" s="25"/>
      <c r="AE59" s="16"/>
      <c r="AF59" s="16"/>
    </row>
    <row r="60" spans="1:32" ht="15" customHeight="1">
      <c r="A60" s="3"/>
      <c r="B60" s="16"/>
      <c r="C60" s="16"/>
      <c r="D60" s="16" t="s">
        <v>200</v>
      </c>
      <c r="E60" s="16"/>
      <c r="F60" s="16"/>
      <c r="G60" s="25"/>
      <c r="H60" s="22">
        <f>-91490030.72-5090</f>
        <v>-91495120.719999999</v>
      </c>
      <c r="I60" s="22"/>
      <c r="J60" s="22"/>
      <c r="K60" s="22">
        <v>0</v>
      </c>
      <c r="L60" s="22"/>
      <c r="M60" s="22"/>
      <c r="N60" s="122">
        <f>-91490030.72-5090</f>
        <v>-91495120.719999999</v>
      </c>
      <c r="O60" s="22"/>
      <c r="P60" s="59"/>
      <c r="Q60" s="59"/>
      <c r="S60" s="56"/>
      <c r="T60" s="60"/>
      <c r="U60" s="61"/>
      <c r="V60" s="61"/>
      <c r="W60" s="61"/>
      <c r="X60" s="55"/>
      <c r="Y60" s="20"/>
      <c r="Z60" s="20"/>
      <c r="AA60" s="20"/>
      <c r="AB60" s="20"/>
      <c r="AC60" s="22"/>
      <c r="AD60" s="25"/>
      <c r="AE60" s="16"/>
      <c r="AF60" s="16"/>
    </row>
    <row r="61" spans="1:32" ht="15" customHeight="1">
      <c r="A61" s="3"/>
      <c r="B61" s="16"/>
      <c r="C61" s="16"/>
      <c r="D61" s="16" t="s">
        <v>252</v>
      </c>
      <c r="E61" s="16"/>
      <c r="F61" s="16"/>
      <c r="G61" s="25"/>
      <c r="H61" s="22">
        <v>0</v>
      </c>
      <c r="I61" s="22"/>
      <c r="J61" s="22"/>
      <c r="K61" s="22">
        <f>-130837432.79-4835.5</f>
        <v>-130842268.29000001</v>
      </c>
      <c r="L61" s="22"/>
      <c r="M61" s="22"/>
      <c r="N61" s="122">
        <f>-130837432.79-4835.5</f>
        <v>-130842268.29000001</v>
      </c>
      <c r="O61" s="22"/>
      <c r="P61" s="59"/>
      <c r="Q61" s="59"/>
      <c r="S61" s="56"/>
      <c r="T61" s="60"/>
      <c r="U61" s="61"/>
      <c r="V61" s="61"/>
      <c r="W61" s="61"/>
      <c r="X61" s="55"/>
      <c r="Y61" s="20"/>
      <c r="Z61" s="20"/>
      <c r="AA61" s="20"/>
      <c r="AB61" s="20"/>
      <c r="AC61" s="22"/>
      <c r="AD61" s="25"/>
      <c r="AE61" s="16"/>
      <c r="AF61" s="16"/>
    </row>
    <row r="62" spans="1:32" ht="16.5" customHeight="1">
      <c r="A62" s="3"/>
      <c r="B62" s="16"/>
      <c r="C62" s="16"/>
      <c r="D62" s="16" t="s">
        <v>75</v>
      </c>
      <c r="E62" s="16"/>
      <c r="F62" s="16"/>
      <c r="G62" s="25"/>
      <c r="H62" s="22">
        <f>-459395578.34+2329.06+10762.5-62226344.04-113777643.87+5090-40991009.88-62280278.73</f>
        <v>-738652673.30000007</v>
      </c>
      <c r="I62" s="22"/>
      <c r="J62" s="22"/>
      <c r="K62" s="22">
        <f>-AF31</f>
        <v>-133926803.75</v>
      </c>
      <c r="L62" s="22"/>
      <c r="M62" s="22"/>
      <c r="N62" s="122">
        <f>-41435530.02-30432815.6-88102173.2+256000-29927199.49-97107198.84-141799344.64-(30847316.55-2329.06-10762.5)-62226344.04-113777643.87+5090-40991009.88-62280278.73-(133931639.25-4835.5)</f>
        <v>-872579477.05000007</v>
      </c>
      <c r="O62" s="22"/>
      <c r="P62" s="59"/>
      <c r="Q62" s="59"/>
      <c r="R62" s="43"/>
      <c r="S62" s="57"/>
      <c r="T62" s="61"/>
      <c r="U62" s="61"/>
      <c r="V62" s="40"/>
      <c r="W62" s="40"/>
      <c r="X62" s="55"/>
      <c r="Y62" s="20"/>
      <c r="Z62" s="20"/>
      <c r="AA62" s="20"/>
      <c r="AB62" s="20"/>
      <c r="AC62" s="22"/>
      <c r="AD62" s="25"/>
      <c r="AE62" s="16"/>
      <c r="AF62" s="16"/>
    </row>
    <row r="63" spans="1:32" ht="13.5" customHeight="1">
      <c r="A63" s="3"/>
      <c r="B63" s="28" t="s">
        <v>61</v>
      </c>
      <c r="C63" s="28"/>
      <c r="D63" s="28"/>
      <c r="E63" s="28"/>
      <c r="F63" s="28"/>
      <c r="G63" s="124"/>
      <c r="H63" s="105">
        <f>SUM(H57:H62)</f>
        <v>138798159.66999984</v>
      </c>
      <c r="I63" s="34"/>
      <c r="J63" s="34"/>
      <c r="K63" s="105">
        <f>SUM(K57:K62)</f>
        <v>-138798159.67000002</v>
      </c>
      <c r="L63" s="34"/>
      <c r="M63" s="51"/>
      <c r="N63" s="125">
        <f>SUM(N57:N62)</f>
        <v>0</v>
      </c>
      <c r="O63" s="22"/>
      <c r="P63" s="119"/>
      <c r="Q63" s="118"/>
      <c r="R63" s="18"/>
      <c r="S63" s="57"/>
      <c r="T63" s="61"/>
      <c r="U63" s="61"/>
      <c r="V63" s="40"/>
      <c r="W63" s="40"/>
      <c r="X63" s="55"/>
      <c r="AC63" s="18"/>
    </row>
    <row r="64" spans="1:32" ht="11.25" customHeight="1">
      <c r="A64" s="3"/>
      <c r="B64" s="28"/>
      <c r="C64" s="28"/>
      <c r="D64" s="28"/>
      <c r="E64" s="28"/>
      <c r="F64" s="28"/>
      <c r="G64" s="124"/>
      <c r="H64" s="34"/>
      <c r="I64" s="34"/>
      <c r="J64" s="34"/>
      <c r="K64" s="34"/>
      <c r="L64" s="34"/>
      <c r="M64" s="51"/>
      <c r="N64" s="128"/>
      <c r="O64" s="22"/>
      <c r="P64" s="119"/>
      <c r="Q64" s="118"/>
      <c r="R64" s="18"/>
      <c r="S64" s="57"/>
      <c r="T64" s="61"/>
      <c r="U64" s="61"/>
      <c r="V64" s="40"/>
      <c r="W64" s="40"/>
      <c r="X64" s="55"/>
      <c r="AC64" s="18"/>
    </row>
    <row r="65" spans="1:29" ht="13.5" customHeight="1">
      <c r="A65" s="3"/>
      <c r="B65" s="28" t="s">
        <v>74</v>
      </c>
      <c r="C65" s="28"/>
      <c r="D65" s="28"/>
      <c r="E65" s="28"/>
      <c r="F65" s="28"/>
      <c r="G65" s="124"/>
      <c r="H65" s="34">
        <f>101246000+101587000+174589000+131372000+139608000+137278000+137295000+156633000+168315000+393798000+174329000</f>
        <v>1816050000</v>
      </c>
      <c r="I65" s="34"/>
      <c r="J65" s="34"/>
      <c r="K65" s="118">
        <v>172286000</v>
      </c>
      <c r="L65" s="118"/>
      <c r="M65" s="119"/>
      <c r="N65" s="126">
        <f>101246000+101587000+174589000+131372000+139608000+137278000+137295000+156633000+168315000+393798000+174329000+172286000</f>
        <v>1988336000</v>
      </c>
      <c r="O65" s="22"/>
      <c r="P65" s="119"/>
      <c r="Q65" s="118"/>
      <c r="R65" s="18"/>
      <c r="S65" s="57"/>
      <c r="T65" s="61"/>
      <c r="U65" s="61"/>
      <c r="V65" s="40"/>
      <c r="W65" s="40"/>
      <c r="X65" s="55"/>
      <c r="AC65" s="18"/>
    </row>
    <row r="66" spans="1:29" ht="13.5" customHeight="1">
      <c r="A66" s="3"/>
      <c r="B66" s="16" t="s">
        <v>99</v>
      </c>
      <c r="C66" s="28"/>
      <c r="D66" s="28"/>
      <c r="E66" s="28"/>
      <c r="F66" s="28"/>
      <c r="G66" s="124"/>
      <c r="H66" s="107">
        <f>+H62</f>
        <v>-738652673.30000007</v>
      </c>
      <c r="I66" s="107"/>
      <c r="J66" s="107"/>
      <c r="K66" s="140">
        <f>+K62</f>
        <v>-133926803.75</v>
      </c>
      <c r="L66" s="107"/>
      <c r="M66" s="22"/>
      <c r="N66" s="127">
        <f>+N62</f>
        <v>-872579477.05000007</v>
      </c>
      <c r="O66" s="22"/>
      <c r="P66" s="59"/>
      <c r="Q66" s="140"/>
      <c r="S66" s="57"/>
      <c r="T66" s="61"/>
      <c r="U66" s="61"/>
      <c r="V66" s="40"/>
      <c r="W66" s="40"/>
      <c r="X66" s="55"/>
      <c r="AC66" s="18"/>
    </row>
    <row r="67" spans="1:29" ht="13.5" customHeight="1">
      <c r="A67" s="3"/>
      <c r="B67" s="28" t="s">
        <v>43</v>
      </c>
      <c r="C67" s="28"/>
      <c r="D67" s="28"/>
      <c r="E67" s="28"/>
      <c r="F67" s="28"/>
      <c r="G67" s="124"/>
      <c r="H67" s="105">
        <f>+H65+H66</f>
        <v>1077397326.6999998</v>
      </c>
      <c r="I67" s="34"/>
      <c r="J67" s="34"/>
      <c r="K67" s="141">
        <f>+K65+K66</f>
        <v>38359196.25</v>
      </c>
      <c r="L67" s="34"/>
      <c r="M67" s="34"/>
      <c r="N67" s="125">
        <f>+N65+N66:N66</f>
        <v>1115756522.9499998</v>
      </c>
      <c r="O67" s="22"/>
      <c r="P67" s="118"/>
      <c r="Q67" s="118"/>
      <c r="S67" s="57"/>
      <c r="T67" s="61"/>
      <c r="U67" s="61"/>
      <c r="V67" s="40"/>
      <c r="W67" s="40"/>
      <c r="X67" s="55"/>
      <c r="AC67" s="18"/>
    </row>
    <row r="68" spans="1:29" ht="13.5" customHeight="1">
      <c r="A68" s="3"/>
      <c r="B68" s="121" t="s">
        <v>42</v>
      </c>
      <c r="C68" s="121"/>
      <c r="D68" s="16"/>
      <c r="E68" s="28"/>
      <c r="F68" s="28"/>
      <c r="G68" s="124"/>
      <c r="H68" s="34"/>
      <c r="I68" s="34"/>
      <c r="J68" s="34"/>
      <c r="K68" s="34"/>
      <c r="L68" s="34"/>
      <c r="M68" s="34"/>
      <c r="N68" s="128"/>
      <c r="O68" s="34"/>
      <c r="P68" s="119"/>
      <c r="Q68" s="59"/>
      <c r="S68" s="57"/>
      <c r="T68" s="61"/>
      <c r="U68" s="61"/>
      <c r="V68" s="40"/>
      <c r="W68" s="40"/>
      <c r="X68" s="55"/>
      <c r="AC68" s="18"/>
    </row>
    <row r="69" spans="1:29" ht="13.5" customHeight="1">
      <c r="A69" s="3"/>
      <c r="B69" s="121" t="s">
        <v>73</v>
      </c>
      <c r="C69" s="121"/>
      <c r="D69" s="16"/>
      <c r="E69" s="28"/>
      <c r="F69" s="28"/>
      <c r="G69" s="124"/>
      <c r="H69" s="34"/>
      <c r="I69" s="34"/>
      <c r="J69" s="34"/>
      <c r="K69" s="34"/>
      <c r="L69" s="34"/>
      <c r="M69" s="34"/>
      <c r="N69" s="128"/>
      <c r="O69" s="34"/>
      <c r="P69" s="118"/>
      <c r="Q69" s="45"/>
      <c r="S69" s="57"/>
      <c r="T69" s="61"/>
      <c r="U69" s="61"/>
      <c r="V69" s="40"/>
      <c r="W69" s="40"/>
      <c r="X69" s="45"/>
      <c r="AC69" s="18"/>
    </row>
    <row r="70" spans="1:29" ht="13.5" customHeight="1">
      <c r="A70" s="5"/>
      <c r="B70" s="129"/>
      <c r="C70" s="129" t="s">
        <v>102</v>
      </c>
      <c r="D70" s="15"/>
      <c r="E70" s="130"/>
      <c r="F70" s="130"/>
      <c r="G70" s="131"/>
      <c r="H70" s="132"/>
      <c r="I70" s="132"/>
      <c r="J70" s="132"/>
      <c r="K70" s="132"/>
      <c r="L70" s="132"/>
      <c r="M70" s="132"/>
      <c r="N70" s="133"/>
      <c r="O70" s="16"/>
      <c r="P70" s="16"/>
      <c r="S70" s="57"/>
      <c r="T70" s="61"/>
      <c r="U70" s="61"/>
      <c r="V70" s="40"/>
      <c r="W70" s="40"/>
      <c r="X70" s="45"/>
      <c r="AC70" s="18"/>
    </row>
    <row r="71" spans="1:29" ht="15" customHeight="1">
      <c r="B71" s="26"/>
      <c r="C71" s="26"/>
      <c r="H71" s="20"/>
      <c r="I71" s="20"/>
      <c r="J71" s="20"/>
      <c r="K71" s="20"/>
      <c r="M71" s="20"/>
      <c r="N71" s="20"/>
      <c r="O71" s="134"/>
      <c r="P71" s="16"/>
      <c r="S71" s="56"/>
      <c r="T71" s="60"/>
      <c r="U71" s="61"/>
      <c r="V71" s="40"/>
      <c r="W71" s="63"/>
      <c r="X71" s="45"/>
    </row>
    <row r="72" spans="1:29" ht="15" customHeight="1">
      <c r="B72" s="26"/>
      <c r="C72" s="26"/>
      <c r="D72" s="26"/>
      <c r="H72" s="20"/>
      <c r="I72" s="20"/>
      <c r="J72" s="20"/>
      <c r="K72" s="20"/>
      <c r="M72" s="20"/>
      <c r="N72" s="20"/>
      <c r="O72" s="43"/>
      <c r="S72" s="56"/>
      <c r="T72" s="61"/>
      <c r="U72" s="61"/>
      <c r="V72" s="40"/>
      <c r="W72" s="40"/>
      <c r="X72" s="45"/>
    </row>
    <row r="73" spans="1:29" ht="15" customHeight="1">
      <c r="B73" s="16"/>
      <c r="C73" s="16"/>
      <c r="D73" s="16"/>
      <c r="E73" s="16"/>
      <c r="F73" s="38"/>
      <c r="K73" s="20"/>
      <c r="L73" s="38"/>
      <c r="N73" s="22"/>
      <c r="O73" s="18"/>
      <c r="P73" s="18"/>
      <c r="S73" s="56"/>
      <c r="T73" s="60"/>
      <c r="U73" s="61"/>
      <c r="V73" s="62"/>
      <c r="W73" s="61"/>
      <c r="X73" s="45"/>
    </row>
    <row r="74" spans="1:29" ht="15" customHeight="1">
      <c r="B74" s="28"/>
      <c r="C74" s="28"/>
      <c r="D74" s="16"/>
      <c r="E74" s="16"/>
      <c r="K74" s="20"/>
      <c r="N74" s="51"/>
      <c r="S74" s="57"/>
      <c r="T74" s="61"/>
      <c r="U74" s="61"/>
      <c r="V74" s="40"/>
      <c r="W74" s="40"/>
      <c r="X74" s="45"/>
    </row>
    <row r="75" spans="1:29">
      <c r="K75" s="20"/>
      <c r="N75" s="22"/>
      <c r="S75" s="57"/>
      <c r="T75" s="61"/>
      <c r="U75" s="61"/>
      <c r="V75" s="40"/>
      <c r="W75" s="40"/>
      <c r="X75" s="16"/>
    </row>
    <row r="76" spans="1:29">
      <c r="K76" s="20"/>
      <c r="N76" s="22"/>
      <c r="S76" s="57"/>
      <c r="T76" s="57"/>
      <c r="U76" s="57"/>
      <c r="V76" s="40"/>
      <c r="W76" s="50"/>
    </row>
    <row r="77" spans="1:29">
      <c r="K77" s="20"/>
      <c r="S77" s="56"/>
      <c r="T77" s="56"/>
      <c r="U77" s="57"/>
      <c r="V77" s="62"/>
      <c r="W77" s="57"/>
    </row>
    <row r="78" spans="1:29">
      <c r="K78" s="20"/>
      <c r="M78" s="22"/>
      <c r="N78" s="59"/>
      <c r="S78" s="26"/>
    </row>
    <row r="79" spans="1:29">
      <c r="K79" s="20"/>
      <c r="M79" s="22"/>
      <c r="N79" s="22"/>
    </row>
    <row r="80" spans="1:29">
      <c r="K80" s="20"/>
      <c r="M80" s="22"/>
      <c r="N80" s="22"/>
      <c r="T80" s="39" t="s">
        <v>78</v>
      </c>
      <c r="U80" s="39"/>
      <c r="X80" s="19"/>
      <c r="Y80" s="18"/>
    </row>
    <row r="81" spans="11:29">
      <c r="K81" s="43"/>
      <c r="M81" s="22"/>
      <c r="N81" s="22"/>
      <c r="T81" s="54" t="s">
        <v>64</v>
      </c>
      <c r="U81" s="54"/>
      <c r="V81" s="45"/>
      <c r="W81" s="45"/>
      <c r="X81" s="55"/>
    </row>
    <row r="82" spans="11:29">
      <c r="K82" s="19"/>
      <c r="M82" s="22"/>
      <c r="N82" s="22"/>
      <c r="T82" s="56" t="s">
        <v>253</v>
      </c>
      <c r="U82" s="57"/>
      <c r="V82" s="57"/>
      <c r="W82" s="57"/>
      <c r="X82" s="58"/>
      <c r="Y82" s="18"/>
    </row>
    <row r="83" spans="11:29">
      <c r="K83" s="19"/>
      <c r="M83" s="22"/>
      <c r="N83" s="22"/>
      <c r="T83" s="56"/>
      <c r="U83" s="57"/>
      <c r="V83" s="57"/>
      <c r="W83" s="57"/>
      <c r="X83" s="117"/>
      <c r="Y83" s="91" t="s">
        <v>254</v>
      </c>
      <c r="AB83" s="95" t="s">
        <v>95</v>
      </c>
    </row>
    <row r="84" spans="11:29">
      <c r="K84" s="19"/>
      <c r="M84" s="22"/>
      <c r="N84" s="22"/>
      <c r="S84" s="82" t="s">
        <v>82</v>
      </c>
      <c r="T84" s="83"/>
      <c r="U84" s="84"/>
      <c r="V84" s="103"/>
      <c r="W84" s="84"/>
      <c r="X84" s="85"/>
      <c r="Y84" s="86" t="s">
        <v>182</v>
      </c>
      <c r="AB84" s="112" t="s">
        <v>255</v>
      </c>
    </row>
    <row r="85" spans="11:29">
      <c r="K85" s="19"/>
      <c r="M85" s="22"/>
      <c r="N85" s="22"/>
      <c r="S85" s="89" t="s">
        <v>83</v>
      </c>
      <c r="T85" s="60" t="s">
        <v>80</v>
      </c>
      <c r="U85" s="61" t="s">
        <v>4</v>
      </c>
      <c r="V85" s="40">
        <v>20361</v>
      </c>
      <c r="W85" s="40"/>
      <c r="X85" s="69"/>
      <c r="Y85" s="79"/>
      <c r="AB85" s="96"/>
    </row>
    <row r="86" spans="11:29">
      <c r="K86" s="19"/>
      <c r="M86" s="22"/>
      <c r="N86" s="22"/>
      <c r="S86" s="72"/>
      <c r="T86" s="61"/>
      <c r="U86" s="61" t="s">
        <v>5</v>
      </c>
      <c r="V86" s="40">
        <v>57077</v>
      </c>
      <c r="W86" s="40"/>
      <c r="X86" s="69"/>
      <c r="Y86" s="79"/>
      <c r="AB86" s="96"/>
    </row>
    <row r="87" spans="11:29">
      <c r="K87" s="19"/>
      <c r="M87" s="22"/>
      <c r="N87" s="22"/>
      <c r="S87" s="72"/>
      <c r="T87" s="61"/>
      <c r="U87" s="61" t="s">
        <v>7</v>
      </c>
      <c r="V87" s="48">
        <v>23750</v>
      </c>
      <c r="W87" s="40">
        <f>SUM(V85:V87)</f>
        <v>101188</v>
      </c>
      <c r="X87" s="69"/>
      <c r="Y87" s="80">
        <v>114939</v>
      </c>
      <c r="Z87" s="18"/>
      <c r="AB87" s="96"/>
    </row>
    <row r="88" spans="11:29">
      <c r="K88" s="19"/>
      <c r="M88" s="22"/>
      <c r="N88" s="22"/>
      <c r="S88" s="72"/>
      <c r="T88" s="61" t="s">
        <v>158</v>
      </c>
      <c r="U88" s="61" t="s">
        <v>7</v>
      </c>
      <c r="V88" s="40"/>
      <c r="W88" s="40">
        <v>17862</v>
      </c>
      <c r="X88" s="69"/>
      <c r="Y88" s="80">
        <v>0</v>
      </c>
      <c r="Z88" s="18"/>
      <c r="AB88" s="96"/>
    </row>
    <row r="89" spans="11:29">
      <c r="K89" s="19"/>
      <c r="M89" s="22"/>
      <c r="N89" s="22"/>
      <c r="S89" s="72"/>
      <c r="T89" s="61" t="s">
        <v>159</v>
      </c>
      <c r="U89" s="61" t="s">
        <v>7</v>
      </c>
      <c r="V89" s="40"/>
      <c r="W89" s="40">
        <v>2568</v>
      </c>
      <c r="X89" s="69"/>
      <c r="Y89" s="80">
        <v>0</v>
      </c>
      <c r="Z89" s="18"/>
      <c r="AB89" s="96"/>
    </row>
    <row r="90" spans="11:29">
      <c r="K90" s="19"/>
      <c r="M90" s="22"/>
      <c r="N90" s="22"/>
      <c r="S90" s="72"/>
      <c r="T90" s="60" t="s">
        <v>116</v>
      </c>
      <c r="U90" s="61" t="s">
        <v>5</v>
      </c>
      <c r="V90" s="40"/>
      <c r="W90" s="40">
        <v>0</v>
      </c>
      <c r="X90" s="73"/>
      <c r="Y90" s="80">
        <f>+W90</f>
        <v>0</v>
      </c>
      <c r="Z90" s="18"/>
      <c r="AB90" s="96"/>
    </row>
    <row r="91" spans="11:29">
      <c r="K91" s="19"/>
      <c r="M91" s="22"/>
      <c r="N91" s="22"/>
      <c r="P91" s="43"/>
      <c r="S91" s="70" t="s">
        <v>81</v>
      </c>
      <c r="T91" s="60"/>
      <c r="U91" s="61"/>
      <c r="V91" s="40"/>
      <c r="W91" s="40"/>
      <c r="X91" s="73"/>
      <c r="Y91" s="80"/>
      <c r="Z91" s="18"/>
      <c r="AB91" s="96"/>
    </row>
    <row r="92" spans="11:29">
      <c r="K92" s="19"/>
      <c r="M92" s="22"/>
      <c r="N92" s="22"/>
      <c r="P92" s="43"/>
      <c r="S92" s="72"/>
      <c r="T92" s="60" t="s">
        <v>89</v>
      </c>
      <c r="U92" s="61" t="s">
        <v>4</v>
      </c>
      <c r="V92" s="40">
        <v>2010</v>
      </c>
      <c r="W92" s="40"/>
      <c r="X92" s="73"/>
      <c r="Y92" s="80">
        <v>0</v>
      </c>
      <c r="Z92" s="93"/>
      <c r="AA92" s="94"/>
      <c r="AB92" s="110">
        <v>0</v>
      </c>
      <c r="AC92" s="88" t="s">
        <v>98</v>
      </c>
    </row>
    <row r="93" spans="11:29">
      <c r="K93" s="19"/>
      <c r="M93" s="22"/>
      <c r="N93" s="22"/>
      <c r="P93" s="43"/>
      <c r="S93" s="72"/>
      <c r="T93" s="60" t="s">
        <v>90</v>
      </c>
      <c r="U93" s="61" t="s">
        <v>5</v>
      </c>
      <c r="V93" s="48">
        <v>0</v>
      </c>
      <c r="W93" s="40">
        <f>+V92+V93</f>
        <v>2010</v>
      </c>
      <c r="X93" s="73"/>
      <c r="Y93" s="80">
        <v>0</v>
      </c>
      <c r="AB93" s="96"/>
    </row>
    <row r="94" spans="11:29">
      <c r="K94" s="19"/>
      <c r="M94" s="22"/>
      <c r="N94" s="22"/>
      <c r="P94" s="43"/>
      <c r="S94" s="60" t="s">
        <v>91</v>
      </c>
      <c r="T94" s="60"/>
      <c r="U94" s="61" t="s">
        <v>4</v>
      </c>
      <c r="V94" s="40"/>
      <c r="W94" s="48">
        <v>2025</v>
      </c>
      <c r="X94" s="71">
        <f>SUM(W87:W94)</f>
        <v>125653</v>
      </c>
      <c r="Y94" s="80">
        <f>+W94</f>
        <v>2025</v>
      </c>
      <c r="Z94" s="88" t="s">
        <v>63</v>
      </c>
      <c r="AB94" s="96"/>
    </row>
    <row r="95" spans="11:29">
      <c r="K95" s="19"/>
      <c r="M95" s="51"/>
      <c r="N95" s="34"/>
      <c r="S95" s="90" t="s">
        <v>84</v>
      </c>
      <c r="T95" s="60"/>
      <c r="U95" s="61"/>
      <c r="V95" s="40"/>
      <c r="W95" s="40"/>
      <c r="X95" s="69"/>
      <c r="Y95" s="79"/>
      <c r="AB95" s="96"/>
    </row>
    <row r="96" spans="11:29">
      <c r="K96" s="19"/>
      <c r="M96" s="51"/>
      <c r="N96" s="34"/>
      <c r="S96" s="87"/>
      <c r="T96" s="60" t="s">
        <v>93</v>
      </c>
      <c r="U96" s="61" t="s">
        <v>4</v>
      </c>
      <c r="V96" s="40"/>
      <c r="W96" s="40">
        <v>0</v>
      </c>
      <c r="X96" s="73"/>
      <c r="Y96" s="80">
        <f>+W96</f>
        <v>0</v>
      </c>
      <c r="AB96" s="96"/>
    </row>
    <row r="97" spans="11:29">
      <c r="K97" s="19"/>
      <c r="M97" s="22"/>
      <c r="N97" s="107"/>
      <c r="S97" s="87"/>
      <c r="T97" s="60" t="s">
        <v>148</v>
      </c>
      <c r="U97" s="61" t="s">
        <v>4</v>
      </c>
      <c r="V97" s="40">
        <v>0</v>
      </c>
      <c r="W97" s="40"/>
      <c r="X97" s="69"/>
      <c r="Y97" s="80">
        <v>0</v>
      </c>
      <c r="AB97" s="96"/>
    </row>
    <row r="98" spans="11:29">
      <c r="K98" s="19"/>
      <c r="M98" s="34"/>
      <c r="N98" s="34"/>
      <c r="S98" s="87"/>
      <c r="T98" s="60"/>
      <c r="U98" s="61" t="s">
        <v>5</v>
      </c>
      <c r="V98" s="48">
        <v>236</v>
      </c>
      <c r="W98" s="40">
        <f>SUM(V97:V98)</f>
        <v>236</v>
      </c>
      <c r="X98" s="69"/>
      <c r="Y98" s="80">
        <v>0</v>
      </c>
      <c r="AB98" s="96"/>
    </row>
    <row r="99" spans="11:29">
      <c r="K99" s="19"/>
      <c r="M99" s="34"/>
      <c r="N99" s="34"/>
      <c r="S99" s="87"/>
      <c r="T99" s="60" t="s">
        <v>85</v>
      </c>
      <c r="U99" s="61"/>
      <c r="V99" s="40"/>
      <c r="W99" s="40"/>
      <c r="X99" s="69"/>
      <c r="Y99" s="80"/>
      <c r="AB99" s="96"/>
    </row>
    <row r="100" spans="11:29">
      <c r="K100" s="19"/>
      <c r="M100" s="34"/>
      <c r="N100" s="34"/>
      <c r="S100" s="87"/>
      <c r="T100" s="60"/>
      <c r="U100" s="61" t="s">
        <v>4</v>
      </c>
      <c r="V100" s="40">
        <v>0</v>
      </c>
      <c r="W100" s="40"/>
      <c r="X100" s="69"/>
      <c r="Y100" s="80"/>
      <c r="AB100" s="96"/>
    </row>
    <row r="101" spans="11:29">
      <c r="K101" s="19"/>
      <c r="M101" s="34"/>
      <c r="N101" s="34"/>
      <c r="S101" s="87"/>
      <c r="T101" s="60"/>
      <c r="U101" s="61" t="s">
        <v>5</v>
      </c>
      <c r="V101" s="40">
        <v>0</v>
      </c>
      <c r="W101" s="40"/>
      <c r="X101" s="69"/>
      <c r="Y101" s="80"/>
      <c r="AB101" s="96"/>
    </row>
    <row r="102" spans="11:29">
      <c r="K102" s="19"/>
      <c r="M102" s="34"/>
      <c r="N102" s="34"/>
      <c r="S102" s="87"/>
      <c r="T102" s="60"/>
      <c r="U102" s="61" t="s">
        <v>7</v>
      </c>
      <c r="V102" s="48">
        <v>0</v>
      </c>
      <c r="W102" s="40">
        <f>SUM(V100:V102)</f>
        <v>0</v>
      </c>
      <c r="X102" s="69"/>
      <c r="Y102" s="80">
        <f>+W102</f>
        <v>0</v>
      </c>
      <c r="AB102" s="96"/>
    </row>
    <row r="103" spans="11:29">
      <c r="K103" s="19"/>
      <c r="S103" s="87"/>
      <c r="T103" s="60" t="s">
        <v>171</v>
      </c>
      <c r="U103" s="61"/>
      <c r="V103" s="40"/>
      <c r="W103" s="40"/>
      <c r="X103" s="69"/>
      <c r="Y103" s="79"/>
      <c r="AB103" s="96"/>
    </row>
    <row r="104" spans="11:29">
      <c r="K104" s="19"/>
      <c r="S104" s="87"/>
      <c r="T104" s="60"/>
      <c r="U104" s="61" t="s">
        <v>7</v>
      </c>
      <c r="V104" s="48">
        <v>38011</v>
      </c>
      <c r="W104" s="48">
        <f>SUM(V104:V104)</f>
        <v>38011</v>
      </c>
      <c r="X104" s="74">
        <f>SUM(W96:W104)</f>
        <v>38247</v>
      </c>
      <c r="Y104" s="80"/>
      <c r="AB104" s="96"/>
    </row>
    <row r="105" spans="11:29">
      <c r="K105" s="19"/>
      <c r="S105" s="87"/>
      <c r="T105" s="60" t="s">
        <v>194</v>
      </c>
      <c r="U105" s="60"/>
      <c r="V105" s="63"/>
      <c r="W105" s="63"/>
      <c r="X105" s="73">
        <f>SUM(X94:X104)</f>
        <v>163900</v>
      </c>
      <c r="Y105" s="79"/>
      <c r="AB105" s="96"/>
    </row>
    <row r="106" spans="11:29">
      <c r="K106" s="19"/>
      <c r="S106" s="90" t="s">
        <v>87</v>
      </c>
      <c r="T106" s="61"/>
      <c r="U106" s="61" t="s">
        <v>4</v>
      </c>
      <c r="V106" s="40"/>
      <c r="W106" s="40">
        <v>2262</v>
      </c>
      <c r="X106" s="69"/>
      <c r="Y106" s="79"/>
      <c r="AB106" s="96"/>
    </row>
    <row r="107" spans="11:29">
      <c r="K107" s="19"/>
      <c r="S107" s="87"/>
      <c r="T107" s="61"/>
      <c r="U107" s="61" t="s">
        <v>5</v>
      </c>
      <c r="V107" s="40"/>
      <c r="W107" s="40">
        <v>2874</v>
      </c>
      <c r="X107" s="69"/>
      <c r="Y107" s="79"/>
      <c r="AB107" s="96"/>
    </row>
    <row r="108" spans="11:29">
      <c r="K108" s="19"/>
      <c r="S108" s="87"/>
      <c r="T108" s="61"/>
      <c r="U108" s="61" t="s">
        <v>7</v>
      </c>
      <c r="V108" s="40"/>
      <c r="W108" s="48">
        <v>3250</v>
      </c>
      <c r="X108" s="74">
        <f>SUM(W106:W108)</f>
        <v>8386</v>
      </c>
      <c r="Y108" s="104"/>
      <c r="AB108" s="98"/>
    </row>
    <row r="109" spans="11:29">
      <c r="K109" s="19"/>
      <c r="S109" s="90" t="s">
        <v>88</v>
      </c>
      <c r="T109" s="60"/>
      <c r="U109" s="61"/>
      <c r="V109" s="62"/>
      <c r="W109" s="68"/>
      <c r="X109" s="73">
        <f>+X105+X108</f>
        <v>172286</v>
      </c>
      <c r="Y109" s="166">
        <f>SUM(Y87:Y104)</f>
        <v>116964</v>
      </c>
      <c r="Z109" s="88" t="s">
        <v>256</v>
      </c>
      <c r="AB109" s="111">
        <f>SUM(AB87:AB108)</f>
        <v>0</v>
      </c>
      <c r="AC109" s="88" t="s">
        <v>244</v>
      </c>
    </row>
    <row r="110" spans="11:29">
      <c r="K110" s="19"/>
      <c r="S110" s="75"/>
      <c r="T110" s="76"/>
      <c r="U110" s="76"/>
      <c r="V110" s="76"/>
      <c r="W110" s="77"/>
      <c r="X110" s="78"/>
      <c r="Y110" s="167">
        <v>0</v>
      </c>
      <c r="Z110">
        <v>0</v>
      </c>
      <c r="AB110" s="98"/>
    </row>
    <row r="111" spans="11:29">
      <c r="K111" s="19"/>
      <c r="X111" s="43"/>
      <c r="Y111" s="168"/>
      <c r="AB111" s="43">
        <f>+(Y109+AB109)*1000+(Y110*1000)</f>
        <v>116964000</v>
      </c>
      <c r="AC111" t="s">
        <v>257</v>
      </c>
    </row>
    <row r="112" spans="11:29">
      <c r="K112" s="19"/>
      <c r="W112" s="18"/>
      <c r="X112" s="43"/>
      <c r="Y112" s="43"/>
      <c r="AB112" s="18"/>
    </row>
    <row r="113" spans="11:25">
      <c r="K113" s="19"/>
      <c r="X113" s="43"/>
      <c r="Y113" s="43"/>
    </row>
    <row r="114" spans="11:25">
      <c r="K114" s="19"/>
      <c r="X114" s="43"/>
      <c r="Y114" s="20"/>
    </row>
    <row r="115" spans="11:25">
      <c r="X115" s="43"/>
      <c r="Y115" s="18"/>
    </row>
    <row r="116" spans="11:25">
      <c r="X116" s="43"/>
    </row>
  </sheetData>
  <mergeCells count="12">
    <mergeCell ref="A13:F13"/>
    <mergeCell ref="L13:P13"/>
    <mergeCell ref="Q13:U13"/>
    <mergeCell ref="A15:F15"/>
    <mergeCell ref="W36:Y36"/>
    <mergeCell ref="Z36:AA36"/>
    <mergeCell ref="A2:R2"/>
    <mergeCell ref="A3:R3"/>
    <mergeCell ref="G12:K12"/>
    <mergeCell ref="L12:V12"/>
    <mergeCell ref="X12:AA12"/>
    <mergeCell ref="AB12:AF12"/>
  </mergeCells>
  <printOptions horizontalCentered="1"/>
  <pageMargins left="0" right="0" top="0.19" bottom="0" header="0.17" footer="0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C13" sqref="C13"/>
    </sheetView>
  </sheetViews>
  <sheetFormatPr defaultRowHeight="15"/>
  <cols>
    <col min="1" max="1" width="4.140625" customWidth="1"/>
    <col min="2" max="2" width="3.5703125" customWidth="1"/>
    <col min="3" max="3" width="37.140625" customWidth="1"/>
    <col min="4" max="4" width="19.140625" customWidth="1"/>
    <col min="5" max="5" width="3.5703125" customWidth="1"/>
  </cols>
  <sheetData>
    <row r="1" spans="1:4">
      <c r="A1" s="28" t="s">
        <v>205</v>
      </c>
      <c r="B1" s="16"/>
      <c r="C1" s="16"/>
      <c r="D1" s="16"/>
    </row>
    <row r="2" spans="1:4">
      <c r="A2" s="28" t="s">
        <v>206</v>
      </c>
      <c r="B2" s="28"/>
      <c r="C2" s="16"/>
      <c r="D2" s="16"/>
    </row>
    <row r="3" spans="1:4">
      <c r="A3" s="28" t="s">
        <v>207</v>
      </c>
      <c r="B3" s="28"/>
      <c r="C3" s="28"/>
      <c r="D3" s="16"/>
    </row>
    <row r="4" spans="1:4">
      <c r="A4" s="16"/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 t="s">
        <v>210</v>
      </c>
      <c r="C6" s="16"/>
      <c r="D6" s="16"/>
    </row>
    <row r="7" spans="1:4">
      <c r="A7" s="16"/>
      <c r="B7" s="16" t="s">
        <v>211</v>
      </c>
      <c r="C7" s="16"/>
      <c r="D7" s="16"/>
    </row>
    <row r="8" spans="1:4">
      <c r="A8" s="16"/>
      <c r="B8" s="16"/>
      <c r="C8" s="16"/>
      <c r="D8" s="16"/>
    </row>
    <row r="9" spans="1:4" ht="15.75">
      <c r="A9" s="16"/>
      <c r="B9" s="16"/>
      <c r="C9" s="135" t="s">
        <v>208</v>
      </c>
      <c r="D9" s="150">
        <v>1002616240</v>
      </c>
    </row>
    <row r="10" spans="1:4" ht="15.75">
      <c r="A10" s="16"/>
      <c r="B10" s="16"/>
      <c r="C10" s="153" t="s">
        <v>87</v>
      </c>
      <c r="D10" s="148">
        <v>53021506.5</v>
      </c>
    </row>
    <row r="11" spans="1:4" ht="15.75">
      <c r="A11" s="16"/>
      <c r="B11" s="16"/>
      <c r="C11" s="135" t="s">
        <v>8</v>
      </c>
      <c r="D11" s="150">
        <f>+D9+D10</f>
        <v>1055637746.5</v>
      </c>
    </row>
    <row r="12" spans="1:4" ht="15.75">
      <c r="A12" s="16"/>
      <c r="B12" s="16"/>
      <c r="C12" s="153" t="s">
        <v>209</v>
      </c>
      <c r="D12" s="148">
        <v>-635386474.69000006</v>
      </c>
    </row>
    <row r="13" spans="1:4" ht="16.5" thickBot="1">
      <c r="A13" s="16"/>
      <c r="B13" s="16"/>
      <c r="C13" s="154" t="s">
        <v>219</v>
      </c>
      <c r="D13" s="149">
        <f>+D11+D12</f>
        <v>420251271.80999994</v>
      </c>
    </row>
    <row r="14" spans="1:4" ht="15.75" thickTop="1">
      <c r="A14" s="16"/>
      <c r="B14" s="16"/>
      <c r="C14" s="16"/>
      <c r="D14" s="151"/>
    </row>
    <row r="15" spans="1:4">
      <c r="A15" s="16"/>
      <c r="B15" s="16"/>
      <c r="C15" s="16"/>
      <c r="D15" s="16"/>
    </row>
    <row r="17" spans="2:5" ht="15.75">
      <c r="C17" s="135" t="s">
        <v>218</v>
      </c>
      <c r="D17" s="156">
        <f>101246000+101587000+174589000+131372000+139608000+137278000+137295000+156633000+168315000</f>
        <v>1247923000</v>
      </c>
      <c r="E17" s="28"/>
    </row>
    <row r="18" spans="2:5" ht="15.75">
      <c r="C18" s="153" t="s">
        <v>99</v>
      </c>
      <c r="D18" s="157">
        <f>+D12</f>
        <v>-635386474.69000006</v>
      </c>
      <c r="E18" s="28"/>
    </row>
    <row r="19" spans="2:5" ht="16.5" thickBot="1">
      <c r="C19" s="154" t="s">
        <v>43</v>
      </c>
      <c r="D19" s="158">
        <f>+D17+D18</f>
        <v>612536525.30999994</v>
      </c>
      <c r="E19" s="28"/>
    </row>
    <row r="20" spans="2:5" ht="15.75" thickTop="1"/>
    <row r="24" spans="2:5">
      <c r="B24" s="16" t="s">
        <v>44</v>
      </c>
      <c r="C24" s="16"/>
      <c r="D24" s="16" t="s">
        <v>214</v>
      </c>
    </row>
    <row r="25" spans="2:5">
      <c r="B25" s="16"/>
      <c r="C25" s="16"/>
      <c r="D25" s="16"/>
    </row>
    <row r="26" spans="2:5">
      <c r="B26" s="155" t="s">
        <v>212</v>
      </c>
      <c r="C26" s="155"/>
      <c r="D26" s="155" t="s">
        <v>215</v>
      </c>
    </row>
    <row r="27" spans="2:5">
      <c r="B27" s="16" t="s">
        <v>213</v>
      </c>
      <c r="C27" s="16"/>
      <c r="D27" s="16" t="s">
        <v>71</v>
      </c>
    </row>
    <row r="28" spans="2:5">
      <c r="B28" s="16"/>
      <c r="C28" s="16"/>
      <c r="D28" s="152" t="s">
        <v>216</v>
      </c>
    </row>
    <row r="29" spans="2:5">
      <c r="B29" s="16"/>
      <c r="C29" s="16"/>
      <c r="D29" s="152" t="s">
        <v>217</v>
      </c>
    </row>
  </sheetData>
  <printOptions horizontalCentered="1"/>
  <pageMargins left="0.7" right="0.7" top="1.08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4"/>
  <sheetViews>
    <sheetView workbookViewId="0"/>
  </sheetViews>
  <sheetFormatPr defaultRowHeight="15"/>
  <cols>
    <col min="1" max="1" width="1.28515625" customWidth="1"/>
    <col min="2" max="3" width="5.140625" customWidth="1"/>
    <col min="4" max="4" width="39.85546875" customWidth="1"/>
    <col min="5" max="5" width="1.28515625" customWidth="1"/>
    <col min="6" max="6" width="8.42578125" customWidth="1"/>
    <col min="7" max="7" width="12" customWidth="1"/>
    <col min="8" max="8" width="12.7109375" customWidth="1"/>
    <col min="9" max="9" width="10.140625" customWidth="1"/>
    <col min="10" max="10" width="12.5703125" customWidth="1"/>
    <col min="11" max="11" width="12.7109375" customWidth="1"/>
    <col min="12" max="12" width="12" customWidth="1"/>
    <col min="13" max="13" width="12.42578125" customWidth="1"/>
    <col min="14" max="14" width="13.140625" customWidth="1"/>
    <col min="15" max="15" width="10.85546875" customWidth="1"/>
    <col min="16" max="16" width="11.85546875" customWidth="1"/>
    <col min="17" max="17" width="9.140625" customWidth="1"/>
    <col min="18" max="18" width="9.85546875" customWidth="1"/>
    <col min="19" max="19" width="9.140625" customWidth="1"/>
    <col min="20" max="20" width="14" customWidth="1"/>
    <col min="21" max="23" width="12" customWidth="1"/>
    <col min="24" max="24" width="13" customWidth="1"/>
    <col min="25" max="26" width="12" customWidth="1"/>
    <col min="27" max="27" width="12.7109375" customWidth="1"/>
    <col min="28" max="28" width="12" customWidth="1"/>
    <col min="29" max="29" width="13.5703125" customWidth="1"/>
    <col min="30" max="30" width="8.140625" customWidth="1"/>
    <col min="31" max="32" width="12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75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6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6">
      <c r="A18" s="3"/>
      <c r="B18" s="16"/>
      <c r="C18" s="16"/>
      <c r="D18" s="16" t="s">
        <v>26</v>
      </c>
      <c r="E18" s="16"/>
      <c r="F18" s="4"/>
      <c r="G18" s="32">
        <f>16912.5+94822.96</f>
        <v>111735.46</v>
      </c>
      <c r="H18" s="32">
        <v>1918182.29</v>
      </c>
      <c r="I18" s="32">
        <v>0</v>
      </c>
      <c r="J18" s="32">
        <v>0</v>
      </c>
      <c r="K18" s="32">
        <f>SUM(G18:J18)</f>
        <v>2029917.75</v>
      </c>
      <c r="L18" s="42">
        <v>0</v>
      </c>
      <c r="M18" s="42">
        <v>4625005.75</v>
      </c>
      <c r="N18" s="42">
        <v>0</v>
      </c>
      <c r="O18" s="42">
        <v>405860.74</v>
      </c>
      <c r="P18" s="32">
        <f>SUM(L18:O18)</f>
        <v>5030866.49</v>
      </c>
      <c r="Q18" s="32">
        <v>0</v>
      </c>
      <c r="R18" s="32">
        <v>6375</v>
      </c>
      <c r="S18" s="32"/>
      <c r="T18" s="32"/>
      <c r="U18" s="32">
        <f>SUM(Q18:T18)</f>
        <v>6375</v>
      </c>
      <c r="V18" s="32">
        <f>+P18+U18</f>
        <v>5037241.49</v>
      </c>
      <c r="W18" s="32">
        <f>+K18+V18</f>
        <v>7067159.2400000002</v>
      </c>
      <c r="X18" s="32"/>
      <c r="Y18" s="32"/>
      <c r="Z18" s="32"/>
      <c r="AA18" s="32">
        <f>SUM(X18:Z18)</f>
        <v>0</v>
      </c>
      <c r="AB18" s="32">
        <f>+G18+L18+Q18+X18</f>
        <v>111735.46</v>
      </c>
      <c r="AC18" s="32">
        <f>+H18+M18+R18+Y18</f>
        <v>6549563.04</v>
      </c>
      <c r="AD18" s="32">
        <f>+I18+N18+S18</f>
        <v>0</v>
      </c>
      <c r="AE18" s="32">
        <f>+J18+O18+T18+Z18</f>
        <v>405860.74</v>
      </c>
      <c r="AF18" s="32">
        <f>SUM(AB18:AE18)</f>
        <v>7067159.2400000002</v>
      </c>
      <c r="AG18" s="10"/>
      <c r="AH18" s="18">
        <f>+W18+AA18-AF18</f>
        <v>0</v>
      </c>
      <c r="AJ18" s="67" t="s">
        <v>76</v>
      </c>
    </row>
    <row r="19" spans="1:36">
      <c r="A19" s="3"/>
      <c r="B19" s="16"/>
      <c r="C19" s="16"/>
      <c r="D19" s="16" t="s">
        <v>27</v>
      </c>
      <c r="E19" s="16"/>
      <c r="F19" s="4"/>
      <c r="G19" s="32">
        <v>11599382.289999999</v>
      </c>
      <c r="H19" s="32">
        <v>2494414.86</v>
      </c>
      <c r="I19" s="32">
        <v>0</v>
      </c>
      <c r="J19" s="32">
        <v>0</v>
      </c>
      <c r="K19" s="32">
        <f t="shared" ref="K19:K29" si="0">SUM(G19:J19)</f>
        <v>14093797.149999999</v>
      </c>
      <c r="L19" s="32">
        <v>419196.92</v>
      </c>
      <c r="M19" s="32">
        <v>4749238.79</v>
      </c>
      <c r="N19" s="32">
        <v>0</v>
      </c>
      <c r="O19" s="32">
        <v>147562.41</v>
      </c>
      <c r="P19" s="32">
        <f t="shared" ref="P19:P29" si="1">SUM(L19:O19)</f>
        <v>5315998.12</v>
      </c>
      <c r="Q19" s="32"/>
      <c r="R19" s="32">
        <v>156470.26999999999</v>
      </c>
      <c r="S19" s="32"/>
      <c r="T19" s="32">
        <v>39816.239999999998</v>
      </c>
      <c r="U19" s="32">
        <f t="shared" ref="U19:U29" si="2">SUM(Q19:T19)</f>
        <v>196286.50999999998</v>
      </c>
      <c r="V19" s="32">
        <f t="shared" ref="V19:V29" si="3">+P19+U19</f>
        <v>5512284.6299999999</v>
      </c>
      <c r="W19" s="32">
        <f t="shared" ref="W19:W29" si="4">+K19+V19</f>
        <v>19606081.779999997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12018579.209999999</v>
      </c>
      <c r="AC19" s="32">
        <f t="shared" si="6"/>
        <v>7400123.9199999999</v>
      </c>
      <c r="AD19" s="32">
        <f t="shared" ref="AD19:AD29" si="7">+I19+N19+S19</f>
        <v>0</v>
      </c>
      <c r="AE19" s="32">
        <f t="shared" ref="AE19:AE29" si="8">+J19+O19+T19+Z19</f>
        <v>187378.65</v>
      </c>
      <c r="AF19" s="32">
        <f t="shared" ref="AF19:AF29" si="9">SUM(AB19:AE19)</f>
        <v>19606081.779999997</v>
      </c>
      <c r="AG19" s="10"/>
      <c r="AH19" s="18">
        <f t="shared" ref="AH19:AH29" si="10">+W19+AA19-AF19</f>
        <v>0</v>
      </c>
      <c r="AJ19" s="66">
        <f>+AF18+AF19</f>
        <v>26673241.019999996</v>
      </c>
    </row>
    <row r="20" spans="1:36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6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</row>
    <row r="22" spans="1:36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6">
      <c r="A23" s="3"/>
      <c r="B23" s="45" t="s">
        <v>29</v>
      </c>
      <c r="C23" s="45"/>
      <c r="D23" s="45"/>
      <c r="E23" s="45"/>
      <c r="F23" s="46"/>
      <c r="G23" s="42">
        <v>3097035.45</v>
      </c>
      <c r="H23" s="42">
        <v>36876.07</v>
      </c>
      <c r="I23" s="42">
        <v>0</v>
      </c>
      <c r="J23" s="42">
        <v>27042.33</v>
      </c>
      <c r="K23" s="42">
        <f t="shared" si="0"/>
        <v>3160953.85</v>
      </c>
      <c r="L23" s="42">
        <v>0</v>
      </c>
      <c r="M23" s="42">
        <v>565041.12</v>
      </c>
      <c r="N23" s="42">
        <v>0</v>
      </c>
      <c r="O23" s="42">
        <v>31325.85</v>
      </c>
      <c r="P23" s="42">
        <f t="shared" si="1"/>
        <v>596366.97</v>
      </c>
      <c r="Q23" s="42"/>
      <c r="R23" s="42">
        <v>0</v>
      </c>
      <c r="S23" s="42"/>
      <c r="T23" s="42">
        <v>2253.7600000000002</v>
      </c>
      <c r="U23" s="42">
        <f t="shared" si="2"/>
        <v>2253.7600000000002</v>
      </c>
      <c r="V23" s="42">
        <f t="shared" si="3"/>
        <v>598620.73</v>
      </c>
      <c r="W23" s="42">
        <f t="shared" si="4"/>
        <v>3759574.58</v>
      </c>
      <c r="X23" s="42"/>
      <c r="Y23" s="42"/>
      <c r="Z23" s="42"/>
      <c r="AA23" s="42">
        <f t="shared" si="5"/>
        <v>0</v>
      </c>
      <c r="AB23" s="42">
        <f t="shared" si="6"/>
        <v>3097035.45</v>
      </c>
      <c r="AC23" s="42">
        <f t="shared" si="6"/>
        <v>601917.18999999994</v>
      </c>
      <c r="AD23" s="42">
        <f t="shared" si="7"/>
        <v>0</v>
      </c>
      <c r="AE23" s="42">
        <f t="shared" si="8"/>
        <v>60621.94</v>
      </c>
      <c r="AF23" s="42">
        <f t="shared" si="9"/>
        <v>3759574.58</v>
      </c>
      <c r="AG23" s="10"/>
      <c r="AH23" s="18">
        <f t="shared" si="10"/>
        <v>0</v>
      </c>
    </row>
    <row r="24" spans="1:36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6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</row>
    <row r="26" spans="1:36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6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</row>
    <row r="28" spans="1:36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6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6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6" ht="15.75" thickBot="1">
      <c r="A31" s="3"/>
      <c r="B31" s="16"/>
      <c r="C31" s="16"/>
      <c r="D31" s="28" t="s">
        <v>60</v>
      </c>
      <c r="E31" s="16"/>
      <c r="F31" s="4"/>
      <c r="G31" s="33">
        <f>SUM(G18:G29)</f>
        <v>14808153.199999999</v>
      </c>
      <c r="H31" s="33">
        <f t="shared" ref="H31:AH31" si="11">SUM(H18:H29)</f>
        <v>4449473.2200000007</v>
      </c>
      <c r="I31" s="33">
        <f t="shared" si="11"/>
        <v>0</v>
      </c>
      <c r="J31" s="33">
        <f t="shared" si="11"/>
        <v>27042.33</v>
      </c>
      <c r="K31" s="33">
        <f t="shared" si="11"/>
        <v>19284668.75</v>
      </c>
      <c r="L31" s="33">
        <f t="shared" si="11"/>
        <v>419196.92</v>
      </c>
      <c r="M31" s="33">
        <f t="shared" si="11"/>
        <v>9939285.6599999983</v>
      </c>
      <c r="N31" s="33">
        <f t="shared" si="11"/>
        <v>0</v>
      </c>
      <c r="O31" s="33">
        <f t="shared" si="11"/>
        <v>584749</v>
      </c>
      <c r="P31" s="33">
        <f t="shared" si="11"/>
        <v>10943231.58</v>
      </c>
      <c r="Q31" s="33">
        <f t="shared" si="11"/>
        <v>0</v>
      </c>
      <c r="R31" s="33">
        <f t="shared" si="11"/>
        <v>162845.26999999999</v>
      </c>
      <c r="S31" s="33">
        <f t="shared" si="11"/>
        <v>0</v>
      </c>
      <c r="T31" s="33">
        <f t="shared" si="11"/>
        <v>42070</v>
      </c>
      <c r="U31" s="33">
        <f t="shared" si="11"/>
        <v>204915.27</v>
      </c>
      <c r="V31" s="33">
        <f t="shared" si="11"/>
        <v>11148146.850000001</v>
      </c>
      <c r="W31" s="33">
        <f t="shared" si="11"/>
        <v>30432815.599999994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15227350.120000001</v>
      </c>
      <c r="AC31" s="33">
        <f t="shared" si="11"/>
        <v>14551604.15</v>
      </c>
      <c r="AD31" s="33">
        <f t="shared" si="11"/>
        <v>0</v>
      </c>
      <c r="AE31" s="33">
        <f t="shared" si="11"/>
        <v>653861.33000000007</v>
      </c>
      <c r="AF31" s="33">
        <f t="shared" si="11"/>
        <v>30432815.599999994</v>
      </c>
      <c r="AG31" s="27">
        <f t="shared" si="11"/>
        <v>0</v>
      </c>
      <c r="AH31" s="17">
        <f t="shared" si="11"/>
        <v>0</v>
      </c>
    </row>
    <row r="32" spans="1:36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:34" ht="4.5" customHeight="1"/>
    <row r="34" spans="2:34">
      <c r="B34" s="29" t="s">
        <v>33</v>
      </c>
      <c r="C34" s="29"/>
      <c r="G34" s="177" t="s">
        <v>110</v>
      </c>
      <c r="H34" s="177"/>
      <c r="I34" s="177"/>
      <c r="K34" s="177" t="s">
        <v>111</v>
      </c>
      <c r="L34" s="177"/>
      <c r="N34" s="101" t="s">
        <v>113</v>
      </c>
      <c r="T34" s="16"/>
      <c r="U34" s="16"/>
      <c r="V34" s="16"/>
      <c r="W34" s="176"/>
      <c r="X34" s="176"/>
      <c r="Y34" s="176"/>
      <c r="Z34" s="179"/>
      <c r="AA34" s="179"/>
      <c r="AB34" s="16"/>
      <c r="AC34" s="16"/>
      <c r="AE34" s="18"/>
    </row>
    <row r="35" spans="2:34" ht="18.75">
      <c r="B35" t="s">
        <v>34</v>
      </c>
      <c r="H35" s="16"/>
      <c r="I35" s="16"/>
      <c r="K35" s="16"/>
      <c r="L35" s="16"/>
      <c r="N35" s="16"/>
      <c r="T35" s="16"/>
      <c r="U35" s="16"/>
      <c r="V35" s="16"/>
      <c r="W35" s="106"/>
      <c r="X35" s="22"/>
      <c r="Y35" s="22"/>
      <c r="Z35" s="22"/>
      <c r="AA35" s="22"/>
      <c r="AB35" s="22"/>
      <c r="AC35" s="22"/>
      <c r="AD35" s="43"/>
      <c r="AH35" s="18"/>
    </row>
    <row r="36" spans="2:34">
      <c r="D36" t="s">
        <v>103</v>
      </c>
      <c r="G36" s="19"/>
      <c r="H36" s="20">
        <f>SUM(G37:G40)</f>
        <v>91120823</v>
      </c>
      <c r="I36" s="20"/>
      <c r="J36" s="20"/>
      <c r="K36" s="44">
        <f>SUM(J37:J40)</f>
        <v>95513000</v>
      </c>
      <c r="L36" s="20"/>
      <c r="M36" s="20"/>
      <c r="N36" s="44">
        <f>SUM(M37:M40)</f>
        <v>186633823</v>
      </c>
      <c r="T36" s="16"/>
      <c r="U36" s="16"/>
      <c r="V36" s="16"/>
      <c r="W36" s="25"/>
      <c r="X36" s="22"/>
      <c r="Y36" s="22"/>
      <c r="Z36" s="22"/>
      <c r="AA36" s="22"/>
      <c r="AB36" s="22"/>
      <c r="AC36" s="22"/>
      <c r="AD36" s="43"/>
    </row>
    <row r="37" spans="2:34">
      <c r="D37" s="26" t="s">
        <v>97</v>
      </c>
      <c r="G37" s="50">
        <f>89000000</f>
        <v>89000000</v>
      </c>
      <c r="H37" s="20"/>
      <c r="I37" s="20"/>
      <c r="J37" s="50">
        <v>93488000</v>
      </c>
      <c r="K37" s="20"/>
      <c r="L37" s="20"/>
      <c r="M37" s="20">
        <f>89000000+93488000</f>
        <v>182488000</v>
      </c>
      <c r="N37" s="20"/>
      <c r="T37" s="16"/>
      <c r="U37" s="16"/>
      <c r="V37" s="16"/>
      <c r="W37" s="25"/>
      <c r="X37" s="51"/>
      <c r="Y37" s="51"/>
      <c r="Z37" s="51"/>
      <c r="AA37" s="51"/>
      <c r="AB37" s="51"/>
      <c r="AC37" s="51"/>
      <c r="AD37" s="19"/>
    </row>
    <row r="38" spans="2:34">
      <c r="D38" s="26" t="s">
        <v>100</v>
      </c>
      <c r="G38" s="22">
        <v>2026000</v>
      </c>
      <c r="H38" s="20"/>
      <c r="I38" s="20"/>
      <c r="J38" s="22">
        <v>2025000</v>
      </c>
      <c r="K38" s="20"/>
      <c r="L38" s="20"/>
      <c r="M38" s="22">
        <f>2026000+2025000</f>
        <v>4051000</v>
      </c>
      <c r="N38" s="20"/>
      <c r="T38" s="16"/>
      <c r="U38" s="16"/>
      <c r="V38" s="16"/>
      <c r="W38" s="25"/>
      <c r="X38" s="51"/>
      <c r="Y38" s="51"/>
      <c r="Z38" s="51"/>
      <c r="AA38" s="51"/>
      <c r="AB38" s="51"/>
      <c r="AC38" s="51"/>
      <c r="AD38" s="19"/>
    </row>
    <row r="39" spans="2:34">
      <c r="D39" t="s">
        <v>104</v>
      </c>
      <c r="G39" s="22"/>
      <c r="H39" s="20"/>
      <c r="I39" s="20"/>
      <c r="J39" s="22">
        <v>0</v>
      </c>
      <c r="K39" s="20"/>
      <c r="L39" s="20"/>
      <c r="M39" s="22"/>
      <c r="N39" s="20"/>
      <c r="W39" s="19"/>
      <c r="X39" s="51"/>
      <c r="Y39" s="31"/>
      <c r="Z39" s="31"/>
      <c r="AA39" s="51"/>
      <c r="AB39" s="31"/>
      <c r="AC39" s="51"/>
      <c r="AD39" s="19"/>
    </row>
    <row r="40" spans="2:34">
      <c r="D40" s="26" t="s">
        <v>105</v>
      </c>
      <c r="G40" s="21">
        <v>94823</v>
      </c>
      <c r="H40" s="20"/>
      <c r="I40" s="20"/>
      <c r="J40" s="21">
        <v>0</v>
      </c>
      <c r="K40" s="20"/>
      <c r="L40" s="20"/>
      <c r="M40" s="21">
        <v>94823</v>
      </c>
      <c r="N40" s="20"/>
      <c r="W40" s="19"/>
      <c r="X40" s="51"/>
      <c r="Y40" s="31"/>
      <c r="Z40" s="31"/>
      <c r="AA40" s="51"/>
      <c r="AB40" s="31"/>
      <c r="AC40" s="51"/>
      <c r="AD40" s="19"/>
    </row>
    <row r="41" spans="2:34">
      <c r="D41" t="s">
        <v>35</v>
      </c>
      <c r="G41" s="20"/>
      <c r="H41" s="20">
        <v>0</v>
      </c>
      <c r="I41" s="20"/>
      <c r="J41" s="20"/>
      <c r="K41" s="20">
        <v>0</v>
      </c>
      <c r="L41" s="20"/>
      <c r="M41" s="20"/>
      <c r="N41" s="20"/>
      <c r="W41" s="19"/>
      <c r="X41" s="51"/>
      <c r="Y41" s="31"/>
      <c r="Z41" s="31"/>
      <c r="AA41" s="51"/>
      <c r="AB41" s="31"/>
      <c r="AC41" s="22"/>
      <c r="AD41" s="25"/>
      <c r="AE41" s="16"/>
      <c r="AF41" s="16"/>
    </row>
    <row r="42" spans="2:34">
      <c r="D42" t="s">
        <v>36</v>
      </c>
      <c r="G42" s="19"/>
      <c r="H42" s="20">
        <v>6514818</v>
      </c>
      <c r="I42" s="20"/>
      <c r="J42" s="20"/>
      <c r="K42" s="44">
        <f>+AF23</f>
        <v>3759574.58</v>
      </c>
      <c r="L42" s="20"/>
      <c r="M42" s="20"/>
      <c r="N42" s="20">
        <f>6514818+3759574.58</f>
        <v>10274392.58</v>
      </c>
      <c r="W42" s="19"/>
      <c r="X42" s="51"/>
      <c r="Y42" s="31"/>
      <c r="Z42" s="31"/>
      <c r="AA42" s="51"/>
      <c r="AB42" s="31"/>
      <c r="AC42" s="51"/>
      <c r="AD42" s="25"/>
      <c r="AE42" s="16"/>
      <c r="AF42" s="16"/>
    </row>
    <row r="43" spans="2:34">
      <c r="D43" t="s">
        <v>37</v>
      </c>
      <c r="G43" s="19"/>
      <c r="H43" s="20">
        <v>0</v>
      </c>
      <c r="I43" s="20"/>
      <c r="J43" s="20"/>
      <c r="K43" s="20">
        <v>0</v>
      </c>
      <c r="L43" s="20"/>
      <c r="M43" s="20"/>
      <c r="N43" s="20"/>
      <c r="W43" s="19"/>
      <c r="X43" s="22"/>
      <c r="Y43" s="20"/>
      <c r="Z43" s="20"/>
      <c r="AA43" s="20"/>
      <c r="AB43" s="20"/>
      <c r="AC43" s="22"/>
      <c r="AD43" s="25"/>
      <c r="AE43" s="16"/>
      <c r="AF43" s="16"/>
    </row>
    <row r="44" spans="2:34" ht="14.25" customHeight="1">
      <c r="D44" t="s">
        <v>38</v>
      </c>
      <c r="G44" s="19"/>
      <c r="H44" s="20">
        <v>0</v>
      </c>
      <c r="I44" s="20"/>
      <c r="J44" s="20"/>
      <c r="K44" s="20">
        <v>0</v>
      </c>
      <c r="L44" s="20"/>
      <c r="M44" s="20"/>
      <c r="N44" s="20"/>
      <c r="S44" s="39"/>
      <c r="T44" s="39"/>
      <c r="W44" s="19"/>
      <c r="X44" s="22"/>
      <c r="Y44" s="20"/>
      <c r="Z44" s="20"/>
      <c r="AA44" s="20"/>
      <c r="AB44" s="20"/>
      <c r="AC44" s="22"/>
      <c r="AD44" s="25"/>
      <c r="AE44" s="16"/>
      <c r="AF44" s="16"/>
    </row>
    <row r="45" spans="2:34" ht="13.5" customHeight="1">
      <c r="D45" s="15" t="s">
        <v>39</v>
      </c>
      <c r="G45" s="19"/>
      <c r="H45" s="21">
        <v>0</v>
      </c>
      <c r="I45" s="20"/>
      <c r="J45" s="20"/>
      <c r="K45" s="21">
        <v>0</v>
      </c>
      <c r="L45" s="20"/>
      <c r="M45" s="22"/>
      <c r="N45" s="21"/>
      <c r="S45" s="39"/>
      <c r="T45" s="39"/>
      <c r="W45" s="19"/>
      <c r="X45" s="22"/>
      <c r="Y45" s="20"/>
      <c r="Z45" s="20"/>
      <c r="AA45" s="20"/>
      <c r="AB45" s="20"/>
      <c r="AC45" s="22"/>
      <c r="AD45" s="25"/>
      <c r="AE45" s="16"/>
      <c r="AF45" s="16"/>
    </row>
    <row r="46" spans="2:34" ht="13.5" customHeight="1">
      <c r="D46" t="s">
        <v>57</v>
      </c>
      <c r="G46" s="19"/>
      <c r="H46" s="20">
        <f>SUM(H36:H45)</f>
        <v>97635641</v>
      </c>
      <c r="I46" s="20"/>
      <c r="J46" s="20"/>
      <c r="K46" s="20">
        <f>SUM(K36:K45)</f>
        <v>99272574.579999998</v>
      </c>
      <c r="L46" s="20"/>
      <c r="M46" s="22"/>
      <c r="N46" s="20">
        <f>SUM(N36:N45)</f>
        <v>196908215.58000001</v>
      </c>
      <c r="S46" s="39"/>
      <c r="T46" s="65"/>
      <c r="U46" s="65"/>
      <c r="V46" s="16"/>
      <c r="W46" s="16"/>
      <c r="X46" s="25"/>
      <c r="Y46" s="20"/>
      <c r="Z46" s="20"/>
      <c r="AA46" s="20"/>
      <c r="AB46" s="20"/>
      <c r="AC46" s="22"/>
      <c r="AD46" s="25"/>
      <c r="AE46" s="16"/>
      <c r="AF46" s="16"/>
    </row>
    <row r="47" spans="2:34">
      <c r="B47" t="s">
        <v>40</v>
      </c>
      <c r="G47" s="19"/>
      <c r="H47" s="21">
        <v>0</v>
      </c>
      <c r="I47" s="22"/>
      <c r="J47" s="22"/>
      <c r="K47" s="21">
        <v>0</v>
      </c>
      <c r="L47" s="22"/>
      <c r="M47" s="22"/>
      <c r="N47" s="21">
        <v>0</v>
      </c>
      <c r="S47" s="54"/>
      <c r="T47" s="54"/>
      <c r="U47" s="54"/>
      <c r="V47" s="45"/>
      <c r="W47" s="45"/>
      <c r="X47" s="55"/>
      <c r="Y47" s="22"/>
      <c r="Z47" s="22"/>
      <c r="AA47" s="22"/>
      <c r="AB47" s="22"/>
      <c r="AC47" s="51"/>
      <c r="AD47" s="25"/>
      <c r="AE47" s="16"/>
      <c r="AF47" s="16"/>
    </row>
    <row r="48" spans="2:34" ht="15" customHeight="1">
      <c r="B48" s="29" t="s">
        <v>41</v>
      </c>
      <c r="C48" s="29"/>
      <c r="G48" s="19"/>
      <c r="H48" s="20">
        <f>+H46-H47</f>
        <v>97635641</v>
      </c>
      <c r="I48" s="22"/>
      <c r="J48" s="22"/>
      <c r="K48" s="22">
        <f>+K46-K47</f>
        <v>99272574.579999998</v>
      </c>
      <c r="L48" s="22"/>
      <c r="M48" s="22"/>
      <c r="N48" s="22">
        <f>+N46-N47</f>
        <v>196908215.58000001</v>
      </c>
      <c r="S48" s="56"/>
      <c r="T48" s="60"/>
      <c r="U48" s="61"/>
      <c r="V48" s="61"/>
      <c r="W48" s="61"/>
      <c r="X48" s="55"/>
      <c r="Y48" s="20"/>
      <c r="Z48" s="20"/>
      <c r="AA48" s="20"/>
      <c r="AB48" s="20"/>
      <c r="AC48" s="22"/>
      <c r="AD48" s="25"/>
      <c r="AE48" s="16"/>
      <c r="AF48" s="16"/>
    </row>
    <row r="49" spans="2:32" ht="15" customHeight="1">
      <c r="B49" t="s">
        <v>56</v>
      </c>
      <c r="D49" t="s">
        <v>69</v>
      </c>
      <c r="G49" s="19"/>
      <c r="H49" s="20"/>
      <c r="I49" s="22"/>
      <c r="J49" s="22"/>
      <c r="K49" s="22"/>
      <c r="L49" s="22"/>
      <c r="M49" s="22"/>
      <c r="N49" s="22"/>
      <c r="S49" s="56"/>
      <c r="T49" s="60"/>
      <c r="U49" s="61"/>
      <c r="V49" s="61"/>
      <c r="W49" s="61"/>
      <c r="X49" s="55"/>
      <c r="Y49" s="20"/>
      <c r="Z49" s="20"/>
      <c r="AA49" s="20"/>
      <c r="AB49" s="20"/>
      <c r="AC49" s="22"/>
      <c r="AD49" s="25"/>
      <c r="AE49" s="16"/>
      <c r="AF49" s="16"/>
    </row>
    <row r="50" spans="2:32" ht="16.5" customHeight="1">
      <c r="D50" t="s">
        <v>75</v>
      </c>
      <c r="G50" s="43"/>
      <c r="H50" s="44">
        <v>-41435530.020000003</v>
      </c>
      <c r="I50" s="22"/>
      <c r="J50" s="22"/>
      <c r="K50" s="22">
        <f>-AF31</f>
        <v>-30432815.599999994</v>
      </c>
      <c r="L50" s="22"/>
      <c r="M50" s="22"/>
      <c r="N50" s="22">
        <f>-41435530.02-30432815.6</f>
        <v>-71868345.620000005</v>
      </c>
      <c r="P50" s="18"/>
      <c r="S50" s="57"/>
      <c r="T50" s="61"/>
      <c r="U50" s="61"/>
      <c r="V50" s="40"/>
      <c r="W50" s="40"/>
      <c r="X50" s="55"/>
      <c r="Y50" s="20"/>
      <c r="Z50" s="20"/>
      <c r="AA50" s="20"/>
      <c r="AB50" s="20"/>
      <c r="AC50" s="22"/>
      <c r="AD50" s="25"/>
      <c r="AE50" s="16"/>
      <c r="AF50" s="16"/>
    </row>
    <row r="51" spans="2:32" ht="13.5" customHeight="1">
      <c r="B51" s="29" t="s">
        <v>61</v>
      </c>
      <c r="C51" s="29"/>
      <c r="D51" s="29"/>
      <c r="E51" s="29"/>
      <c r="F51" s="29"/>
      <c r="G51" s="35"/>
      <c r="H51" s="105">
        <f>SUM(H48:H50)</f>
        <v>56200110.979999997</v>
      </c>
      <c r="I51" s="34"/>
      <c r="J51" s="34"/>
      <c r="K51" s="105">
        <f>SUM(K48:K50)</f>
        <v>68839758.980000004</v>
      </c>
      <c r="L51" s="34"/>
      <c r="M51" s="34"/>
      <c r="N51" s="105">
        <f>SUM(N48:N50)</f>
        <v>125039869.96000001</v>
      </c>
      <c r="S51" s="57"/>
      <c r="T51" s="61"/>
      <c r="U51" s="61"/>
      <c r="V51" s="40"/>
      <c r="W51" s="40"/>
      <c r="X51" s="45"/>
      <c r="AC51" s="18"/>
    </row>
    <row r="52" spans="2:32" ht="13.5" customHeight="1">
      <c r="B52" s="29" t="s">
        <v>74</v>
      </c>
      <c r="C52" s="29"/>
      <c r="D52" s="29"/>
      <c r="E52" s="29"/>
      <c r="F52" s="29"/>
      <c r="G52" s="35"/>
      <c r="H52" s="31">
        <v>101246000</v>
      </c>
      <c r="I52" s="34"/>
      <c r="J52" s="34"/>
      <c r="K52" s="34">
        <f>+X92*1000</f>
        <v>101587000</v>
      </c>
      <c r="L52" s="34"/>
      <c r="M52" s="34"/>
      <c r="N52" s="34">
        <f>101246000+101587000</f>
        <v>202833000</v>
      </c>
      <c r="S52" s="57"/>
      <c r="T52" s="61"/>
      <c r="U52" s="61"/>
      <c r="V52" s="40"/>
      <c r="W52" s="40"/>
      <c r="X52" s="45"/>
      <c r="AC52" s="18"/>
    </row>
    <row r="53" spans="2:32" ht="13.5" customHeight="1">
      <c r="B53" t="s">
        <v>99</v>
      </c>
      <c r="C53" s="29"/>
      <c r="D53" s="29"/>
      <c r="E53" s="29"/>
      <c r="F53" s="29"/>
      <c r="G53" s="35"/>
      <c r="H53" s="107">
        <f>+H50</f>
        <v>-41435530.020000003</v>
      </c>
      <c r="I53" s="107"/>
      <c r="J53" s="107"/>
      <c r="K53" s="107">
        <f>+K50</f>
        <v>-30432815.599999994</v>
      </c>
      <c r="L53" s="107"/>
      <c r="M53" s="107"/>
      <c r="N53" s="107">
        <f>+N50</f>
        <v>-71868345.620000005</v>
      </c>
      <c r="S53" s="57"/>
      <c r="T53" s="61"/>
      <c r="U53" s="61"/>
      <c r="V53" s="40"/>
      <c r="W53" s="40"/>
      <c r="X53" s="45"/>
      <c r="AC53" s="18"/>
    </row>
    <row r="54" spans="2:32" ht="13.5" customHeight="1">
      <c r="B54" s="29" t="s">
        <v>43</v>
      </c>
      <c r="C54" s="29"/>
      <c r="D54" s="29"/>
      <c r="E54" s="29"/>
      <c r="F54" s="29"/>
      <c r="G54" s="35"/>
      <c r="H54" s="105">
        <f>+H52+H53</f>
        <v>59810469.979999997</v>
      </c>
      <c r="I54" s="34"/>
      <c r="J54" s="34"/>
      <c r="K54" s="105">
        <f>+K52+K53</f>
        <v>71154184.400000006</v>
      </c>
      <c r="L54" s="34"/>
      <c r="M54" s="34"/>
      <c r="N54" s="105">
        <f>+N52+N53:N53</f>
        <v>130964654.38</v>
      </c>
      <c r="S54" s="57"/>
      <c r="T54" s="61"/>
      <c r="U54" s="61"/>
      <c r="V54" s="40"/>
      <c r="W54" s="40"/>
      <c r="X54" s="45"/>
      <c r="AC54" s="18"/>
    </row>
    <row r="55" spans="2:32" ht="13.5" customHeight="1">
      <c r="B55" s="26" t="s">
        <v>42</v>
      </c>
      <c r="C55" s="26"/>
      <c r="E55" s="29"/>
      <c r="F55" s="29"/>
      <c r="G55" s="35"/>
      <c r="H55" s="34"/>
      <c r="I55" s="34"/>
      <c r="J55" s="34"/>
      <c r="K55" s="34"/>
      <c r="L55" s="34"/>
      <c r="M55" s="34"/>
      <c r="N55" s="34"/>
      <c r="S55" s="57"/>
      <c r="T55" s="61"/>
      <c r="U55" s="61"/>
      <c r="V55" s="40"/>
      <c r="W55" s="40"/>
      <c r="X55" s="45"/>
      <c r="AC55" s="18"/>
    </row>
    <row r="56" spans="2:32" ht="13.5" customHeight="1">
      <c r="B56" s="26" t="s">
        <v>73</v>
      </c>
      <c r="C56" s="26"/>
      <c r="E56" s="29"/>
      <c r="F56" s="29"/>
      <c r="G56" s="35"/>
      <c r="H56" s="34"/>
      <c r="I56" s="34"/>
      <c r="J56" s="34"/>
      <c r="K56" s="34"/>
      <c r="L56" s="34"/>
      <c r="M56" s="34"/>
      <c r="N56" s="34"/>
      <c r="S56" s="57"/>
      <c r="T56" s="61"/>
      <c r="U56" s="61"/>
      <c r="V56" s="40"/>
      <c r="W56" s="40"/>
      <c r="X56" s="45"/>
      <c r="AC56" s="18"/>
    </row>
    <row r="57" spans="2:32" ht="13.5" customHeight="1">
      <c r="B57" s="26"/>
      <c r="C57" s="26" t="s">
        <v>102</v>
      </c>
      <c r="E57" s="29"/>
      <c r="F57" s="29"/>
      <c r="G57" s="35"/>
      <c r="H57" s="34"/>
      <c r="I57" s="34"/>
      <c r="J57" s="34"/>
      <c r="K57" s="34"/>
      <c r="L57" s="34"/>
      <c r="M57" s="34"/>
      <c r="N57" s="34"/>
      <c r="S57" s="57"/>
      <c r="T57" s="61"/>
      <c r="U57" s="61"/>
      <c r="V57" s="40"/>
      <c r="W57" s="40"/>
      <c r="X57" s="45"/>
      <c r="AC57" s="18"/>
    </row>
    <row r="58" spans="2:32" ht="15" customHeight="1">
      <c r="B58" s="26"/>
      <c r="C58" s="26"/>
      <c r="F58" t="s">
        <v>44</v>
      </c>
      <c r="H58" s="20"/>
      <c r="I58" s="20"/>
      <c r="J58" s="20"/>
      <c r="K58" s="20"/>
      <c r="L58" t="s">
        <v>47</v>
      </c>
      <c r="M58" s="20"/>
      <c r="N58" s="20"/>
      <c r="O58" s="43"/>
      <c r="S58" s="56"/>
      <c r="T58" s="60"/>
      <c r="U58" s="61"/>
      <c r="V58" s="40"/>
      <c r="W58" s="63"/>
      <c r="X58" s="45"/>
    </row>
    <row r="59" spans="2:32" ht="15" customHeight="1">
      <c r="B59" s="26"/>
      <c r="C59" s="26"/>
      <c r="D59" s="26"/>
      <c r="H59" s="20"/>
      <c r="I59" s="20"/>
      <c r="J59" s="20"/>
      <c r="K59" s="20"/>
      <c r="M59" s="20"/>
      <c r="N59" s="20"/>
      <c r="O59" s="43"/>
      <c r="S59" s="56"/>
      <c r="T59" s="61"/>
      <c r="U59" s="61"/>
      <c r="V59" s="40"/>
      <c r="W59" s="40"/>
      <c r="X59" s="45"/>
    </row>
    <row r="60" spans="2:32" ht="15" customHeight="1">
      <c r="B60" s="16"/>
      <c r="C60" s="16"/>
      <c r="D60" s="16"/>
      <c r="E60" s="16"/>
      <c r="F60" s="38" t="s">
        <v>49</v>
      </c>
      <c r="L60" s="38" t="s">
        <v>72</v>
      </c>
      <c r="N60" s="22"/>
      <c r="O60" s="18"/>
      <c r="P60" s="18"/>
      <c r="S60" s="56"/>
      <c r="T60" s="60"/>
      <c r="U60" s="61"/>
      <c r="V60" s="62"/>
      <c r="W60" s="61"/>
      <c r="X60" s="45"/>
    </row>
    <row r="61" spans="2:32" ht="15" customHeight="1">
      <c r="B61" s="28"/>
      <c r="C61" s="28"/>
      <c r="D61" s="16"/>
      <c r="E61" s="16"/>
      <c r="F61" t="s">
        <v>46</v>
      </c>
      <c r="L61" t="s">
        <v>71</v>
      </c>
      <c r="N61" s="51"/>
      <c r="S61" s="57"/>
      <c r="T61" s="61"/>
      <c r="U61" s="61"/>
      <c r="V61" s="40"/>
      <c r="W61" s="40"/>
      <c r="X61" s="45"/>
    </row>
    <row r="62" spans="2:32">
      <c r="F62" t="s">
        <v>45</v>
      </c>
      <c r="L62" t="s">
        <v>48</v>
      </c>
      <c r="N62" s="22"/>
      <c r="S62" s="57"/>
      <c r="T62" s="61"/>
      <c r="U62" s="61"/>
      <c r="V62" s="40"/>
      <c r="W62" s="40"/>
      <c r="X62" s="16"/>
    </row>
    <row r="63" spans="2:32">
      <c r="L63" t="s">
        <v>45</v>
      </c>
      <c r="N63" s="22"/>
      <c r="S63" s="57"/>
      <c r="T63" s="57"/>
      <c r="U63" s="57"/>
      <c r="V63" s="40"/>
      <c r="W63" s="50"/>
    </row>
    <row r="64" spans="2:32">
      <c r="S64" s="56"/>
      <c r="T64" s="56"/>
      <c r="U64" s="57"/>
      <c r="V64" s="62"/>
      <c r="W64" s="57"/>
    </row>
    <row r="65" spans="14:29">
      <c r="S65" s="26"/>
    </row>
    <row r="67" spans="14:29">
      <c r="T67" s="39" t="s">
        <v>78</v>
      </c>
      <c r="U67" s="39"/>
      <c r="X67" s="19"/>
    </row>
    <row r="68" spans="14:29">
      <c r="N68" s="43"/>
      <c r="T68" s="54" t="s">
        <v>64</v>
      </c>
      <c r="U68" s="54"/>
      <c r="V68" s="45"/>
      <c r="W68" s="45"/>
      <c r="X68" s="55"/>
    </row>
    <row r="69" spans="14:29">
      <c r="T69" s="56" t="s">
        <v>114</v>
      </c>
      <c r="U69" s="57"/>
      <c r="V69" s="57"/>
      <c r="W69" s="57"/>
      <c r="X69" s="58"/>
    </row>
    <row r="70" spans="14:29">
      <c r="T70" s="56"/>
      <c r="U70" s="57"/>
      <c r="V70" s="57"/>
      <c r="W70" s="57"/>
      <c r="X70" s="58"/>
      <c r="Y70" s="91" t="s">
        <v>115</v>
      </c>
      <c r="AB70" s="95" t="s">
        <v>95</v>
      </c>
    </row>
    <row r="71" spans="14:29">
      <c r="S71" s="82" t="s">
        <v>82</v>
      </c>
      <c r="T71" s="83"/>
      <c r="U71" s="84"/>
      <c r="V71" s="103"/>
      <c r="W71" s="84"/>
      <c r="X71" s="85"/>
      <c r="Y71" s="86" t="s">
        <v>107</v>
      </c>
      <c r="AB71" s="92" t="s">
        <v>117</v>
      </c>
    </row>
    <row r="72" spans="14:29">
      <c r="N72" s="22"/>
      <c r="S72" s="89" t="s">
        <v>83</v>
      </c>
      <c r="T72" s="60" t="s">
        <v>80</v>
      </c>
      <c r="U72" s="61" t="s">
        <v>4</v>
      </c>
      <c r="V72" s="40">
        <v>19426</v>
      </c>
      <c r="W72" s="40"/>
      <c r="X72" s="69"/>
      <c r="Y72" s="79"/>
      <c r="AB72" s="96"/>
    </row>
    <row r="73" spans="14:29">
      <c r="N73" s="22"/>
      <c r="S73" s="72"/>
      <c r="T73" s="61"/>
      <c r="U73" s="61" t="s">
        <v>5</v>
      </c>
      <c r="V73" s="40">
        <v>27419</v>
      </c>
      <c r="W73" s="40"/>
      <c r="X73" s="69"/>
      <c r="Y73" s="79"/>
      <c r="AB73" s="96"/>
    </row>
    <row r="74" spans="14:29">
      <c r="N74" s="22"/>
      <c r="S74" s="72"/>
      <c r="T74" s="61"/>
      <c r="U74" s="61" t="s">
        <v>7</v>
      </c>
      <c r="V74" s="48">
        <v>23750</v>
      </c>
      <c r="W74" s="40">
        <f>SUM(V72:V74)</f>
        <v>70595</v>
      </c>
      <c r="X74" s="69"/>
      <c r="Y74" s="80">
        <f>+W74</f>
        <v>70595</v>
      </c>
      <c r="Z74" s="18"/>
      <c r="AB74" s="96"/>
    </row>
    <row r="75" spans="14:29">
      <c r="N75" s="22"/>
      <c r="S75" s="72"/>
      <c r="T75" s="60" t="s">
        <v>116</v>
      </c>
      <c r="U75" s="61" t="s">
        <v>5</v>
      </c>
      <c r="V75" s="40"/>
      <c r="W75" s="40">
        <v>3369</v>
      </c>
      <c r="X75" s="69"/>
      <c r="Y75" s="80">
        <f>+W75</f>
        <v>3369</v>
      </c>
      <c r="Z75" s="18"/>
      <c r="AB75" s="96"/>
    </row>
    <row r="76" spans="14:29">
      <c r="N76" s="22"/>
      <c r="P76" s="43"/>
      <c r="S76" s="70" t="s">
        <v>81</v>
      </c>
      <c r="T76" s="60"/>
      <c r="U76" s="61"/>
      <c r="V76" s="40"/>
      <c r="W76" s="40"/>
      <c r="X76" s="73"/>
      <c r="Y76" s="80"/>
      <c r="Z76" s="18"/>
      <c r="AB76" s="96"/>
    </row>
    <row r="77" spans="14:29">
      <c r="N77" s="22"/>
      <c r="P77" s="43"/>
      <c r="S77" s="72"/>
      <c r="T77" s="60" t="s">
        <v>89</v>
      </c>
      <c r="U77" s="61" t="s">
        <v>4</v>
      </c>
      <c r="V77" s="40">
        <v>0</v>
      </c>
      <c r="W77" s="40"/>
      <c r="X77" s="73"/>
      <c r="Y77" s="80">
        <v>0</v>
      </c>
      <c r="Z77" s="93"/>
      <c r="AA77" s="94"/>
      <c r="AB77" s="97">
        <v>0</v>
      </c>
      <c r="AC77" s="88" t="s">
        <v>98</v>
      </c>
    </row>
    <row r="78" spans="14:29">
      <c r="N78" s="22"/>
      <c r="P78" s="43"/>
      <c r="S78" s="72"/>
      <c r="T78" s="60" t="s">
        <v>90</v>
      </c>
      <c r="U78" s="61" t="s">
        <v>5</v>
      </c>
      <c r="V78" s="48">
        <v>0</v>
      </c>
      <c r="W78" s="40">
        <f>+V77+V78</f>
        <v>0</v>
      </c>
      <c r="X78" s="73"/>
      <c r="Y78" s="80">
        <v>0</v>
      </c>
      <c r="AB78" s="96"/>
    </row>
    <row r="79" spans="14:29">
      <c r="N79" s="22"/>
      <c r="P79" s="43"/>
      <c r="S79" s="60" t="s">
        <v>91</v>
      </c>
      <c r="T79" s="60"/>
      <c r="U79" s="61" t="s">
        <v>4</v>
      </c>
      <c r="V79" s="40"/>
      <c r="W79" s="48">
        <v>2025</v>
      </c>
      <c r="X79" s="71">
        <f>SUM(W74:W79)</f>
        <v>75989</v>
      </c>
      <c r="Y79" s="80">
        <f>+W79</f>
        <v>2025</v>
      </c>
      <c r="Z79" s="88" t="s">
        <v>63</v>
      </c>
      <c r="AB79" s="96"/>
    </row>
    <row r="80" spans="14:29">
      <c r="N80" s="22"/>
      <c r="S80" s="90" t="s">
        <v>84</v>
      </c>
      <c r="T80" s="60"/>
      <c r="U80" s="61"/>
      <c r="V80" s="40"/>
      <c r="W80" s="40"/>
      <c r="X80" s="69"/>
      <c r="Y80" s="79"/>
      <c r="AB80" s="96"/>
    </row>
    <row r="81" spans="14:29">
      <c r="N81" s="22"/>
      <c r="S81" s="87"/>
      <c r="T81" s="60" t="s">
        <v>93</v>
      </c>
      <c r="U81" s="61" t="s">
        <v>4</v>
      </c>
      <c r="V81" s="40"/>
      <c r="W81" s="40">
        <v>450</v>
      </c>
      <c r="X81" s="73"/>
      <c r="Y81" s="80">
        <f>+W81</f>
        <v>450</v>
      </c>
      <c r="AB81" s="96"/>
    </row>
    <row r="82" spans="14:29">
      <c r="S82" s="87"/>
      <c r="T82" s="60" t="s">
        <v>92</v>
      </c>
      <c r="U82" s="61" t="s">
        <v>4</v>
      </c>
      <c r="V82" s="40">
        <v>0</v>
      </c>
      <c r="W82" s="40"/>
      <c r="X82" s="69"/>
      <c r="Y82" s="80">
        <v>0</v>
      </c>
      <c r="AB82" s="96"/>
    </row>
    <row r="83" spans="14:29">
      <c r="S83" s="87"/>
      <c r="T83" s="60"/>
      <c r="U83" s="61" t="s">
        <v>5</v>
      </c>
      <c r="V83" s="48">
        <v>6804</v>
      </c>
      <c r="W83" s="40">
        <f>SUM(V82:V83)</f>
        <v>6804</v>
      </c>
      <c r="X83" s="69"/>
      <c r="Y83" s="80">
        <f>+W83</f>
        <v>6804</v>
      </c>
      <c r="AB83" s="96"/>
    </row>
    <row r="84" spans="14:29">
      <c r="S84" s="87"/>
      <c r="T84" s="60" t="s">
        <v>85</v>
      </c>
      <c r="U84" s="61"/>
      <c r="V84" s="40"/>
      <c r="W84" s="40"/>
      <c r="X84" s="69"/>
      <c r="Y84" s="79"/>
      <c r="AB84" s="96"/>
    </row>
    <row r="85" spans="14:29">
      <c r="S85" s="87"/>
      <c r="T85" s="60"/>
      <c r="U85" s="61" t="s">
        <v>4</v>
      </c>
      <c r="V85" s="40">
        <v>0</v>
      </c>
      <c r="W85" s="63"/>
      <c r="X85" s="69"/>
      <c r="Y85" s="79"/>
      <c r="AB85" s="96"/>
    </row>
    <row r="86" spans="14:29">
      <c r="S86" s="87"/>
      <c r="T86" s="60"/>
      <c r="U86" s="61" t="s">
        <v>5</v>
      </c>
      <c r="V86" s="40">
        <v>3241</v>
      </c>
      <c r="W86" s="40"/>
      <c r="X86" s="69"/>
      <c r="Y86" s="80"/>
      <c r="AB86" s="96"/>
    </row>
    <row r="87" spans="14:29">
      <c r="S87" s="87"/>
      <c r="T87" s="60"/>
      <c r="U87" s="61" t="s">
        <v>7</v>
      </c>
      <c r="V87" s="48">
        <v>9029</v>
      </c>
      <c r="W87" s="48">
        <f>SUM(V85:V87)</f>
        <v>12270</v>
      </c>
      <c r="X87" s="74">
        <f>SUM(W81:W87)</f>
        <v>19524</v>
      </c>
      <c r="Y87" s="80">
        <f>+W87</f>
        <v>12270</v>
      </c>
      <c r="AB87" s="96"/>
    </row>
    <row r="88" spans="14:29">
      <c r="S88" s="87"/>
      <c r="T88" s="60" t="s">
        <v>86</v>
      </c>
      <c r="U88" s="60"/>
      <c r="V88" s="63"/>
      <c r="W88" s="63"/>
      <c r="X88" s="73">
        <f>SUM(X79:X87)</f>
        <v>95513</v>
      </c>
      <c r="Y88" s="79"/>
      <c r="AB88" s="96"/>
    </row>
    <row r="89" spans="14:29">
      <c r="S89" s="90" t="s">
        <v>87</v>
      </c>
      <c r="T89" s="61"/>
      <c r="U89" s="61" t="s">
        <v>4</v>
      </c>
      <c r="V89" s="40"/>
      <c r="W89" s="40">
        <v>2208</v>
      </c>
      <c r="X89" s="69"/>
      <c r="Y89" s="79"/>
      <c r="AB89" s="96"/>
    </row>
    <row r="90" spans="14:29">
      <c r="S90" s="87"/>
      <c r="T90" s="61"/>
      <c r="U90" s="61" t="s">
        <v>5</v>
      </c>
      <c r="V90" s="40"/>
      <c r="W90" s="40">
        <v>2141</v>
      </c>
      <c r="X90" s="69"/>
      <c r="Y90" s="79"/>
      <c r="AB90" s="96"/>
    </row>
    <row r="91" spans="14:29">
      <c r="S91" s="87"/>
      <c r="T91" s="61"/>
      <c r="U91" s="61" t="s">
        <v>7</v>
      </c>
      <c r="V91" s="40"/>
      <c r="W91" s="48">
        <v>1725</v>
      </c>
      <c r="X91" s="74">
        <f>SUM(W89:W91)</f>
        <v>6074</v>
      </c>
      <c r="Y91" s="104"/>
      <c r="AB91" s="98"/>
    </row>
    <row r="92" spans="14:29">
      <c r="S92" s="90" t="s">
        <v>88</v>
      </c>
      <c r="T92" s="60"/>
      <c r="U92" s="61"/>
      <c r="V92" s="62"/>
      <c r="W92" s="68"/>
      <c r="X92" s="73">
        <f>+X88+X91</f>
        <v>101587</v>
      </c>
      <c r="Y92" s="80">
        <f>SUM(Y74:Y87)</f>
        <v>95513</v>
      </c>
      <c r="Z92" s="88" t="s">
        <v>118</v>
      </c>
      <c r="AB92" s="99">
        <f>SUM(AB74:AB91)</f>
        <v>0</v>
      </c>
      <c r="AC92" s="88" t="s">
        <v>118</v>
      </c>
    </row>
    <row r="93" spans="14:29">
      <c r="S93" s="75"/>
      <c r="T93" s="76"/>
      <c r="U93" s="76"/>
      <c r="V93" s="76"/>
      <c r="W93" s="77"/>
      <c r="X93" s="78"/>
      <c r="Y93" s="81"/>
      <c r="AB93" s="98"/>
    </row>
    <row r="94" spans="14:29">
      <c r="AB94" s="18">
        <f>+Y92+AB92</f>
        <v>95513</v>
      </c>
      <c r="AC94" t="s">
        <v>119</v>
      </c>
    </row>
  </sheetData>
  <mergeCells count="14">
    <mergeCell ref="AB12:AF12"/>
    <mergeCell ref="A2:R2"/>
    <mergeCell ref="A3:R3"/>
    <mergeCell ref="G12:K12"/>
    <mergeCell ref="L12:V12"/>
    <mergeCell ref="X12:AA12"/>
    <mergeCell ref="W34:Y34"/>
    <mergeCell ref="Z34:AA34"/>
    <mergeCell ref="A13:F13"/>
    <mergeCell ref="L13:P13"/>
    <mergeCell ref="Q13:U13"/>
    <mergeCell ref="A15:F15"/>
    <mergeCell ref="G34:I34"/>
    <mergeCell ref="K34:L34"/>
  </mergeCells>
  <printOptions horizontalCentered="1"/>
  <pageMargins left="0" right="0" top="0.18" bottom="0" header="0.17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7"/>
  <sheetViews>
    <sheetView workbookViewId="0">
      <selection activeCell="A4" sqref="A4"/>
    </sheetView>
  </sheetViews>
  <sheetFormatPr defaultRowHeight="15"/>
  <cols>
    <col min="1" max="1" width="1.28515625" customWidth="1"/>
    <col min="2" max="3" width="5.140625" customWidth="1"/>
    <col min="4" max="4" width="39.85546875" customWidth="1"/>
    <col min="5" max="5" width="1.28515625" customWidth="1"/>
    <col min="6" max="6" width="8.42578125" customWidth="1"/>
    <col min="7" max="7" width="12.85546875" customWidth="1"/>
    <col min="8" max="8" width="12.7109375" customWidth="1"/>
    <col min="9" max="9" width="19.28515625" customWidth="1"/>
    <col min="10" max="10" width="12.5703125" customWidth="1"/>
    <col min="11" max="11" width="14.28515625" customWidth="1"/>
    <col min="12" max="12" width="12" customWidth="1"/>
    <col min="13" max="14" width="13.140625" customWidth="1"/>
    <col min="15" max="15" width="10.85546875" customWidth="1"/>
    <col min="16" max="16" width="12.85546875" customWidth="1"/>
    <col min="17" max="17" width="9.140625" customWidth="1"/>
    <col min="18" max="18" width="12.140625" customWidth="1"/>
    <col min="19" max="19" width="9.140625" customWidth="1"/>
    <col min="20" max="20" width="14" customWidth="1"/>
    <col min="21" max="23" width="12" customWidth="1"/>
    <col min="24" max="24" width="12.5703125" customWidth="1"/>
    <col min="25" max="25" width="12" customWidth="1"/>
    <col min="26" max="26" width="10" customWidth="1"/>
    <col min="27" max="27" width="11.28515625" customWidth="1"/>
    <col min="28" max="28" width="13" customWidth="1"/>
    <col min="29" max="29" width="13.5703125" customWidth="1"/>
    <col min="30" max="30" width="8.140625" customWidth="1"/>
    <col min="31" max="32" width="12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75" t="s">
        <v>120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32">
        <v>10931960.48</v>
      </c>
      <c r="H18" s="32">
        <v>3094626.18</v>
      </c>
      <c r="I18" s="32">
        <v>0</v>
      </c>
      <c r="J18" s="32">
        <v>0</v>
      </c>
      <c r="K18" s="32">
        <f>SUM(G18:J18)</f>
        <v>14026586.66</v>
      </c>
      <c r="L18" s="42"/>
      <c r="M18" s="42">
        <v>7295306.0199999996</v>
      </c>
      <c r="N18" s="42">
        <v>0</v>
      </c>
      <c r="O18" s="102">
        <f>3959333.36-256000</f>
        <v>3703333.36</v>
      </c>
      <c r="P18" s="32">
        <f>SUM(L18:O18)</f>
        <v>10998639.379999999</v>
      </c>
      <c r="Q18" s="32">
        <v>0</v>
      </c>
      <c r="R18" s="32">
        <v>255334.39</v>
      </c>
      <c r="S18" s="32">
        <v>0</v>
      </c>
      <c r="T18" s="32">
        <v>990045</v>
      </c>
      <c r="U18" s="32">
        <f>SUM(Q18:T18)</f>
        <v>1245379.3900000001</v>
      </c>
      <c r="V18" s="32">
        <f>+P18+U18</f>
        <v>12244018.77</v>
      </c>
      <c r="W18" s="32">
        <f>+K18+V18</f>
        <v>26270605.43</v>
      </c>
      <c r="X18" s="32"/>
      <c r="Y18" s="32"/>
      <c r="Z18" s="32"/>
      <c r="AA18" s="32">
        <f>SUM(X18:Z18)</f>
        <v>0</v>
      </c>
      <c r="AB18" s="32">
        <f>+G18+L18+Q18+X18</f>
        <v>10931960.48</v>
      </c>
      <c r="AC18" s="32">
        <f>+H18+M18+R18+Y18</f>
        <v>10645266.59</v>
      </c>
      <c r="AD18" s="32">
        <f>+I18+N18+S18</f>
        <v>0</v>
      </c>
      <c r="AE18" s="102">
        <f>+J18+O18+T18+Z18</f>
        <v>4693378.3599999994</v>
      </c>
      <c r="AF18" s="32">
        <f>SUM(AB18:AE18)</f>
        <v>26270605.43</v>
      </c>
      <c r="AG18" s="10"/>
      <c r="AH18" s="18">
        <f>+W18+AA18-AF18</f>
        <v>0</v>
      </c>
      <c r="AJ18" s="67" t="s">
        <v>136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13194362.060000001</v>
      </c>
      <c r="H19" s="32">
        <v>5991768.1200000001</v>
      </c>
      <c r="I19" s="32"/>
      <c r="J19" s="32"/>
      <c r="K19" s="32">
        <f t="shared" ref="K19:K29" si="0">SUM(G19:J19)</f>
        <v>19186130.18</v>
      </c>
      <c r="L19" s="32">
        <v>163555.89000000001</v>
      </c>
      <c r="M19" s="32">
        <v>30383160.440000001</v>
      </c>
      <c r="N19" s="32">
        <v>0</v>
      </c>
      <c r="O19" s="32">
        <v>2395136.4</v>
      </c>
      <c r="P19" s="32">
        <f t="shared" ref="P19:P29" si="1">SUM(L19:O19)</f>
        <v>32941852.73</v>
      </c>
      <c r="Q19" s="32"/>
      <c r="R19" s="32">
        <v>1734609.03</v>
      </c>
      <c r="S19" s="32">
        <v>0</v>
      </c>
      <c r="T19" s="32">
        <v>317877.27</v>
      </c>
      <c r="U19" s="32">
        <f t="shared" ref="U19:U29" si="2">SUM(Q19:T19)</f>
        <v>2052486.3</v>
      </c>
      <c r="V19" s="32">
        <f t="shared" ref="V19:V29" si="3">+P19+U19</f>
        <v>34994339.030000001</v>
      </c>
      <c r="W19" s="32">
        <f t="shared" ref="W19:W29" si="4">+K19+V19</f>
        <v>54180469.210000001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13357917.950000001</v>
      </c>
      <c r="AC19" s="32">
        <f t="shared" si="6"/>
        <v>38109537.590000004</v>
      </c>
      <c r="AD19" s="32">
        <f t="shared" ref="AD19:AD29" si="7">+I19+N19+S19</f>
        <v>0</v>
      </c>
      <c r="AE19" s="32">
        <f t="shared" ref="AE19:AE29" si="8">+J19+O19+T19+Z19</f>
        <v>2713013.67</v>
      </c>
      <c r="AF19" s="32">
        <f t="shared" ref="AF19:AF29" si="9">SUM(AB19:AE19)</f>
        <v>54180469.210000008</v>
      </c>
      <c r="AG19" s="10"/>
      <c r="AH19" s="18">
        <f t="shared" ref="AH19:AH29" si="10">+W19+AA19-AF19</f>
        <v>0</v>
      </c>
      <c r="AJ19" s="115">
        <f>+AF18+AF19</f>
        <v>80451074.640000015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  <c r="AJ20" s="108"/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>
        <v>80451074.640000001</v>
      </c>
      <c r="AK21" t="s">
        <v>76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  <c r="AJ22" s="108"/>
    </row>
    <row r="23" spans="1:37">
      <c r="A23" s="3"/>
      <c r="B23" s="45" t="s">
        <v>29</v>
      </c>
      <c r="C23" s="45"/>
      <c r="D23" s="45"/>
      <c r="E23" s="45"/>
      <c r="F23" s="46"/>
      <c r="G23" s="42">
        <v>3112568.04</v>
      </c>
      <c r="H23" s="42">
        <v>388100.36</v>
      </c>
      <c r="I23" s="42"/>
      <c r="J23" s="42"/>
      <c r="K23" s="42">
        <f t="shared" si="0"/>
        <v>3500668.4</v>
      </c>
      <c r="L23" s="42">
        <v>0</v>
      </c>
      <c r="M23" s="42">
        <v>3477870.65</v>
      </c>
      <c r="N23" s="42">
        <v>0</v>
      </c>
      <c r="O23" s="42">
        <v>370609.45</v>
      </c>
      <c r="P23" s="42">
        <f t="shared" si="1"/>
        <v>3848480.1</v>
      </c>
      <c r="Q23" s="42"/>
      <c r="R23" s="42">
        <v>33365.589999999997</v>
      </c>
      <c r="S23" s="42">
        <v>0</v>
      </c>
      <c r="T23" s="42">
        <v>12584.47</v>
      </c>
      <c r="U23" s="42">
        <f t="shared" si="2"/>
        <v>45950.06</v>
      </c>
      <c r="V23" s="42">
        <f t="shared" si="3"/>
        <v>3894430.16</v>
      </c>
      <c r="W23" s="42">
        <f t="shared" si="4"/>
        <v>7395098.5600000005</v>
      </c>
      <c r="X23" s="42"/>
      <c r="Y23" s="42"/>
      <c r="Z23" s="42"/>
      <c r="AA23" s="42">
        <f t="shared" si="5"/>
        <v>0</v>
      </c>
      <c r="AB23" s="42">
        <f t="shared" si="6"/>
        <v>3112568.04</v>
      </c>
      <c r="AC23" s="42">
        <f t="shared" si="6"/>
        <v>3899336.5999999996</v>
      </c>
      <c r="AD23" s="42">
        <f t="shared" si="7"/>
        <v>0</v>
      </c>
      <c r="AE23" s="42">
        <f t="shared" si="8"/>
        <v>383193.92</v>
      </c>
      <c r="AF23" s="42">
        <f t="shared" si="9"/>
        <v>7395098.5599999996</v>
      </c>
      <c r="AG23" s="10"/>
      <c r="AH23" s="18">
        <f t="shared" si="10"/>
        <v>0</v>
      </c>
      <c r="AJ23" s="108">
        <f>+AJ19-AJ21</f>
        <v>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27238890.579999998</v>
      </c>
      <c r="H31" s="33">
        <f t="shared" ref="H31:AH31" si="11">SUM(H18:H29)</f>
        <v>9474494.6600000001</v>
      </c>
      <c r="I31" s="33">
        <f t="shared" si="11"/>
        <v>0</v>
      </c>
      <c r="J31" s="33">
        <f t="shared" si="11"/>
        <v>0</v>
      </c>
      <c r="K31" s="33">
        <f t="shared" si="11"/>
        <v>36713385.240000002</v>
      </c>
      <c r="L31" s="33">
        <f t="shared" si="11"/>
        <v>163555.89000000001</v>
      </c>
      <c r="M31" s="33">
        <f t="shared" si="11"/>
        <v>41156337.109999999</v>
      </c>
      <c r="N31" s="33">
        <f t="shared" si="11"/>
        <v>0</v>
      </c>
      <c r="O31" s="33">
        <f t="shared" si="11"/>
        <v>6469079.21</v>
      </c>
      <c r="P31" s="33">
        <f t="shared" si="11"/>
        <v>47788972.210000001</v>
      </c>
      <c r="Q31" s="33">
        <f t="shared" si="11"/>
        <v>0</v>
      </c>
      <c r="R31" s="33">
        <f t="shared" si="11"/>
        <v>2023309.01</v>
      </c>
      <c r="S31" s="33">
        <f t="shared" si="11"/>
        <v>0</v>
      </c>
      <c r="T31" s="33">
        <f t="shared" si="11"/>
        <v>1320506.74</v>
      </c>
      <c r="U31" s="33">
        <f t="shared" si="11"/>
        <v>3343815.7500000005</v>
      </c>
      <c r="V31" s="33">
        <f t="shared" si="11"/>
        <v>51132787.959999993</v>
      </c>
      <c r="W31" s="33">
        <f t="shared" si="11"/>
        <v>87846173.200000003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27402446.469999999</v>
      </c>
      <c r="AC31" s="33">
        <f t="shared" si="11"/>
        <v>52654140.780000009</v>
      </c>
      <c r="AD31" s="33">
        <f t="shared" si="11"/>
        <v>0</v>
      </c>
      <c r="AE31" s="33">
        <f t="shared" si="11"/>
        <v>7789585.9499999993</v>
      </c>
      <c r="AF31" s="33">
        <f t="shared" si="11"/>
        <v>87846173.200000018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:34" ht="4.5" customHeight="1"/>
    <row r="34" spans="2:34">
      <c r="B34" s="29" t="s">
        <v>33</v>
      </c>
      <c r="C34" s="29"/>
      <c r="G34" s="177" t="s">
        <v>121</v>
      </c>
      <c r="H34" s="177"/>
      <c r="I34" s="177"/>
      <c r="K34" s="177" t="s">
        <v>122</v>
      </c>
      <c r="L34" s="177"/>
      <c r="N34" s="113" t="s">
        <v>123</v>
      </c>
      <c r="T34" s="16"/>
      <c r="U34" s="16"/>
      <c r="V34" s="16"/>
      <c r="W34" s="176"/>
      <c r="X34" s="176"/>
      <c r="Y34" s="176"/>
      <c r="Z34" s="179"/>
      <c r="AA34" s="179"/>
      <c r="AB34" s="16"/>
      <c r="AC34" s="16"/>
      <c r="AE34" s="18"/>
      <c r="AF34" s="18"/>
    </row>
    <row r="35" spans="2:34" ht="18.75">
      <c r="B35" t="s">
        <v>34</v>
      </c>
      <c r="H35" s="16"/>
      <c r="I35" s="16"/>
      <c r="K35" s="16"/>
      <c r="L35" s="16"/>
      <c r="N35" s="16"/>
      <c r="T35" s="16"/>
      <c r="U35" s="16"/>
      <c r="V35" s="16"/>
      <c r="W35" s="106"/>
      <c r="X35" s="22"/>
      <c r="Y35" s="22"/>
      <c r="Z35" s="22"/>
      <c r="AA35" s="22"/>
      <c r="AB35" s="22"/>
      <c r="AC35" s="22"/>
      <c r="AD35" s="43"/>
      <c r="AH35" s="18"/>
    </row>
    <row r="36" spans="2:34">
      <c r="D36" t="s">
        <v>103</v>
      </c>
      <c r="G36" s="19"/>
      <c r="H36" s="20">
        <f>SUM(G37:G40)</f>
        <v>186633823</v>
      </c>
      <c r="I36" s="20"/>
      <c r="J36" s="20"/>
      <c r="K36" s="44">
        <f>SUM(J37:J40)</f>
        <v>165279698</v>
      </c>
      <c r="L36" s="20"/>
      <c r="M36" s="20"/>
      <c r="N36" s="44">
        <f>SUM(M37:M40)</f>
        <v>351913521</v>
      </c>
      <c r="P36" s="43"/>
      <c r="Q36" s="18"/>
      <c r="T36" s="16"/>
      <c r="U36" s="16"/>
      <c r="V36" s="16"/>
      <c r="W36" s="25"/>
      <c r="X36" s="22"/>
      <c r="Y36" s="22"/>
      <c r="Z36" s="22"/>
      <c r="AA36" s="22"/>
      <c r="AB36" s="22"/>
      <c r="AC36" s="22"/>
      <c r="AD36" s="43"/>
    </row>
    <row r="37" spans="2:34">
      <c r="D37" s="26" t="s">
        <v>97</v>
      </c>
      <c r="G37" s="20">
        <f>89000000+93488000</f>
        <v>182488000</v>
      </c>
      <c r="H37" s="20"/>
      <c r="I37" s="20"/>
      <c r="J37" s="50">
        <v>163160000</v>
      </c>
      <c r="K37" s="20"/>
      <c r="L37" s="20"/>
      <c r="M37" s="20">
        <f>89000000+93488000+163160000</f>
        <v>345648000</v>
      </c>
      <c r="N37" s="20"/>
      <c r="P37" s="20"/>
      <c r="T37" s="16"/>
      <c r="U37" s="16"/>
      <c r="V37" s="16"/>
      <c r="W37" s="25"/>
      <c r="X37" s="51"/>
      <c r="Y37" s="51"/>
      <c r="Z37" s="51"/>
      <c r="AA37" s="51"/>
      <c r="AB37" s="51"/>
      <c r="AC37" s="51"/>
      <c r="AD37" s="19"/>
    </row>
    <row r="38" spans="2:34">
      <c r="D38" s="26" t="s">
        <v>100</v>
      </c>
      <c r="G38" s="22">
        <f>2026000+2025000</f>
        <v>4051000</v>
      </c>
      <c r="H38" s="20"/>
      <c r="I38" s="20"/>
      <c r="J38" s="22">
        <v>2025000</v>
      </c>
      <c r="K38" s="20"/>
      <c r="L38" s="20"/>
      <c r="M38" s="22">
        <f>2026000+2025000+2025000</f>
        <v>6076000</v>
      </c>
      <c r="N38" s="20"/>
      <c r="P38" s="22"/>
      <c r="T38" s="16"/>
      <c r="U38" s="16"/>
      <c r="V38" s="16"/>
      <c r="W38" s="25"/>
      <c r="X38" s="51"/>
      <c r="Y38" s="51"/>
      <c r="Z38" s="51"/>
      <c r="AA38" s="51"/>
      <c r="AB38" s="51"/>
      <c r="AC38" s="51"/>
      <c r="AD38" s="19"/>
    </row>
    <row r="39" spans="2:34">
      <c r="D39" t="s">
        <v>104</v>
      </c>
      <c r="G39" s="22"/>
      <c r="H39" s="20"/>
      <c r="I39" s="20"/>
      <c r="J39" s="22">
        <v>0</v>
      </c>
      <c r="K39" s="20"/>
      <c r="L39" s="20"/>
      <c r="M39" s="22"/>
      <c r="N39" s="20"/>
      <c r="P39" s="22"/>
      <c r="W39" s="19"/>
      <c r="X39" s="51"/>
      <c r="Y39" s="31"/>
      <c r="Z39" s="31"/>
      <c r="AA39" s="51"/>
      <c r="AB39" s="31"/>
      <c r="AC39" s="51"/>
      <c r="AD39" s="19"/>
    </row>
    <row r="40" spans="2:34">
      <c r="D40" s="26" t="s">
        <v>105</v>
      </c>
      <c r="G40" s="21">
        <v>94823</v>
      </c>
      <c r="H40" s="20"/>
      <c r="I40" s="20"/>
      <c r="J40" s="21">
        <v>94698</v>
      </c>
      <c r="K40" s="20"/>
      <c r="L40" s="20"/>
      <c r="M40" s="21">
        <f>94823+94698</f>
        <v>189521</v>
      </c>
      <c r="N40" s="20"/>
      <c r="P40" s="22"/>
      <c r="W40" s="19"/>
      <c r="X40" s="51"/>
      <c r="Y40" s="31"/>
      <c r="Z40" s="31"/>
      <c r="AA40" s="51"/>
      <c r="AB40" s="31"/>
      <c r="AC40" s="51"/>
      <c r="AD40" s="19"/>
    </row>
    <row r="41" spans="2:34">
      <c r="D41" t="s">
        <v>35</v>
      </c>
      <c r="G41" s="20"/>
      <c r="H41" s="20">
        <v>0</v>
      </c>
      <c r="I41" s="20"/>
      <c r="J41" s="20"/>
      <c r="K41" s="20">
        <v>0</v>
      </c>
      <c r="L41" s="20"/>
      <c r="M41" s="20"/>
      <c r="N41" s="20"/>
      <c r="P41" s="22"/>
      <c r="W41" s="19"/>
      <c r="X41" s="51"/>
      <c r="Y41" s="31"/>
      <c r="Z41" s="31"/>
      <c r="AA41" s="51"/>
      <c r="AB41" s="31"/>
      <c r="AC41" s="22"/>
      <c r="AD41" s="25"/>
      <c r="AE41" s="16"/>
      <c r="AF41" s="16"/>
    </row>
    <row r="42" spans="2:34">
      <c r="D42" t="s">
        <v>36</v>
      </c>
      <c r="G42" s="19"/>
      <c r="H42" s="20">
        <v>10274392.58</v>
      </c>
      <c r="I42" s="20"/>
      <c r="J42" s="20"/>
      <c r="K42" s="44">
        <f>+AF23</f>
        <v>7395098.5599999996</v>
      </c>
      <c r="L42" s="20"/>
      <c r="M42" s="20"/>
      <c r="N42" s="20">
        <f>6514818+3759574.58+7395098.56</f>
        <v>17669491.140000001</v>
      </c>
      <c r="P42" s="20"/>
      <c r="Q42" s="18"/>
      <c r="W42" s="19"/>
      <c r="X42" s="51"/>
      <c r="Y42" s="31"/>
      <c r="Z42" s="31"/>
      <c r="AA42" s="51"/>
      <c r="AB42" s="31"/>
      <c r="AC42" s="51"/>
      <c r="AD42" s="25"/>
      <c r="AE42" s="16"/>
      <c r="AF42" s="16"/>
    </row>
    <row r="43" spans="2:34">
      <c r="D43" t="s">
        <v>37</v>
      </c>
      <c r="G43" s="19"/>
      <c r="H43" s="20">
        <v>0</v>
      </c>
      <c r="I43" s="20"/>
      <c r="J43" s="20"/>
      <c r="K43" s="20">
        <v>0</v>
      </c>
      <c r="L43" s="20"/>
      <c r="M43" s="20"/>
      <c r="N43" s="20"/>
      <c r="P43" s="20"/>
      <c r="W43" s="19"/>
      <c r="X43" s="22"/>
      <c r="Y43" s="20"/>
      <c r="Z43" s="20"/>
      <c r="AA43" s="20"/>
      <c r="AB43" s="20"/>
      <c r="AC43" s="22"/>
      <c r="AD43" s="25"/>
      <c r="AE43" s="16"/>
      <c r="AF43" s="16"/>
    </row>
    <row r="44" spans="2:34" ht="14.25" customHeight="1">
      <c r="D44" t="s">
        <v>38</v>
      </c>
      <c r="G44" s="19"/>
      <c r="H44" s="20">
        <v>0</v>
      </c>
      <c r="I44" s="20"/>
      <c r="J44" s="20"/>
      <c r="K44" s="20">
        <v>0</v>
      </c>
      <c r="L44" s="20"/>
      <c r="M44" s="20"/>
      <c r="N44" s="20"/>
      <c r="P44" s="20"/>
      <c r="S44" s="39"/>
      <c r="T44" s="39"/>
      <c r="W44" s="19"/>
      <c r="X44" s="22"/>
      <c r="Y44" s="20"/>
      <c r="Z44" s="20"/>
      <c r="AA44" s="20"/>
      <c r="AB44" s="20"/>
      <c r="AC44" s="22"/>
      <c r="AD44" s="25"/>
      <c r="AE44" s="16"/>
      <c r="AF44" s="16"/>
    </row>
    <row r="45" spans="2:34" ht="13.5" customHeight="1">
      <c r="D45" s="15" t="s">
        <v>39</v>
      </c>
      <c r="G45" s="19"/>
      <c r="H45" s="21">
        <v>0</v>
      </c>
      <c r="I45" s="20"/>
      <c r="J45" s="20"/>
      <c r="K45" s="21">
        <v>0</v>
      </c>
      <c r="L45" s="20"/>
      <c r="M45" s="22"/>
      <c r="N45" s="21"/>
      <c r="P45" s="20"/>
      <c r="S45" s="39"/>
      <c r="T45" s="39"/>
      <c r="W45" s="19"/>
      <c r="X45" s="22"/>
      <c r="Y45" s="20"/>
      <c r="Z45" s="20"/>
      <c r="AA45" s="20"/>
      <c r="AB45" s="20"/>
      <c r="AC45" s="22"/>
      <c r="AD45" s="25"/>
      <c r="AE45" s="16"/>
      <c r="AF45" s="16"/>
    </row>
    <row r="46" spans="2:34" ht="13.5" customHeight="1">
      <c r="D46" t="s">
        <v>57</v>
      </c>
      <c r="G46" s="19"/>
      <c r="H46" s="20">
        <f>SUM(H36:H45)</f>
        <v>196908215.58000001</v>
      </c>
      <c r="I46" s="20"/>
      <c r="J46" s="20"/>
      <c r="K46" s="20">
        <f>SUM(K36:K45)</f>
        <v>172674796.56</v>
      </c>
      <c r="L46" s="20"/>
      <c r="M46" s="22"/>
      <c r="N46" s="20">
        <f>SUM(N36:N45)</f>
        <v>369583012.13999999</v>
      </c>
      <c r="P46" s="20"/>
      <c r="Q46" s="18"/>
      <c r="S46" s="39"/>
      <c r="T46" s="65"/>
      <c r="U46" s="65"/>
      <c r="V46" s="16"/>
      <c r="W46" s="16"/>
      <c r="X46" s="25"/>
      <c r="Y46" s="20"/>
      <c r="Z46" s="20"/>
      <c r="AA46" s="20"/>
      <c r="AB46" s="20"/>
      <c r="AC46" s="22"/>
      <c r="AD46" s="25"/>
      <c r="AE46" s="16"/>
      <c r="AF46" s="16"/>
    </row>
    <row r="47" spans="2:34">
      <c r="B47" t="s">
        <v>40</v>
      </c>
      <c r="G47" s="19"/>
      <c r="H47" s="21">
        <v>0</v>
      </c>
      <c r="I47" s="22"/>
      <c r="J47" s="22"/>
      <c r="K47" s="21">
        <v>0</v>
      </c>
      <c r="L47" s="22"/>
      <c r="M47" s="22"/>
      <c r="N47" s="21">
        <v>0</v>
      </c>
      <c r="P47" s="20"/>
      <c r="S47" s="54"/>
      <c r="T47" s="54"/>
      <c r="U47" s="54"/>
      <c r="V47" s="45"/>
      <c r="W47" s="45"/>
      <c r="X47" s="55"/>
      <c r="Y47" s="22"/>
      <c r="Z47" s="22"/>
      <c r="AA47" s="22"/>
      <c r="AB47" s="22"/>
      <c r="AC47" s="51"/>
      <c r="AD47" s="25"/>
      <c r="AE47" s="16"/>
      <c r="AF47" s="16"/>
    </row>
    <row r="48" spans="2:34" ht="15" customHeight="1">
      <c r="B48" s="29" t="s">
        <v>41</v>
      </c>
      <c r="C48" s="29"/>
      <c r="G48" s="19"/>
      <c r="H48" s="20">
        <f>+H46-H47</f>
        <v>196908215.58000001</v>
      </c>
      <c r="I48" s="22"/>
      <c r="J48" s="22"/>
      <c r="K48" s="22">
        <f>+K46-K47</f>
        <v>172674796.56</v>
      </c>
      <c r="L48" s="22"/>
      <c r="M48" s="22"/>
      <c r="N48" s="22">
        <f>+N46-N47</f>
        <v>369583012.13999999</v>
      </c>
      <c r="P48" s="20"/>
      <c r="Q48" s="18"/>
      <c r="S48" s="56"/>
      <c r="T48" s="60"/>
      <c r="U48" s="61"/>
      <c r="V48" s="61"/>
      <c r="W48" s="61"/>
      <c r="X48" s="55"/>
      <c r="Y48" s="20"/>
      <c r="Z48" s="20"/>
      <c r="AA48" s="20"/>
      <c r="AB48" s="20"/>
      <c r="AC48" s="22"/>
      <c r="AD48" s="25"/>
      <c r="AE48" s="16"/>
      <c r="AF48" s="16"/>
    </row>
    <row r="49" spans="2:32" ht="15" customHeight="1">
      <c r="B49" t="s">
        <v>56</v>
      </c>
      <c r="D49" t="s">
        <v>69</v>
      </c>
      <c r="G49" s="19"/>
      <c r="H49" s="20">
        <v>-0.04</v>
      </c>
      <c r="I49" s="22"/>
      <c r="J49" s="22"/>
      <c r="K49" s="22">
        <v>-209773795.28</v>
      </c>
      <c r="L49" s="22"/>
      <c r="M49" s="22"/>
      <c r="N49" s="22">
        <f>-0.04-209773795.28</f>
        <v>-209773795.31999999</v>
      </c>
      <c r="P49" s="20"/>
      <c r="Q49" s="18"/>
      <c r="S49" s="56"/>
      <c r="T49" s="60"/>
      <c r="U49" s="61"/>
      <c r="V49" s="61"/>
      <c r="W49" s="61"/>
      <c r="X49" s="55"/>
      <c r="Y49" s="20"/>
      <c r="Z49" s="20"/>
      <c r="AA49" s="20"/>
      <c r="AB49" s="20"/>
      <c r="AC49" s="22"/>
      <c r="AD49" s="25"/>
      <c r="AE49" s="16"/>
      <c r="AF49" s="16"/>
    </row>
    <row r="50" spans="2:32" ht="16.5" customHeight="1">
      <c r="D50" t="s">
        <v>75</v>
      </c>
      <c r="G50" s="19"/>
      <c r="H50" s="44">
        <v>-71868345.620000005</v>
      </c>
      <c r="I50" s="22">
        <f>+H50+H42</f>
        <v>-61593953.040000007</v>
      </c>
      <c r="J50" s="22"/>
      <c r="K50" s="22">
        <f>-AF31</f>
        <v>-87846173.200000018</v>
      </c>
      <c r="L50" s="22">
        <f>+K50+K42</f>
        <v>-80451074.640000015</v>
      </c>
      <c r="M50" s="22"/>
      <c r="N50" s="22">
        <f>-41435530.02-30432815.6-88102173.2+256000</f>
        <v>-159714518.81999999</v>
      </c>
      <c r="P50" s="20"/>
      <c r="Q50" s="18"/>
      <c r="S50" s="57"/>
      <c r="T50" s="61"/>
      <c r="U50" s="61"/>
      <c r="V50" s="40"/>
      <c r="W50" s="40"/>
      <c r="X50" s="55"/>
      <c r="Y50" s="20"/>
      <c r="Z50" s="20"/>
      <c r="AA50" s="20"/>
      <c r="AB50" s="20"/>
      <c r="AC50" s="22"/>
      <c r="AD50" s="25"/>
      <c r="AE50" s="16"/>
      <c r="AF50" s="16"/>
    </row>
    <row r="51" spans="2:32" ht="13.5" customHeight="1">
      <c r="B51" s="29" t="s">
        <v>61</v>
      </c>
      <c r="C51" s="29"/>
      <c r="D51" s="29"/>
      <c r="E51" s="29"/>
      <c r="F51" s="29"/>
      <c r="G51" s="35"/>
      <c r="H51" s="105">
        <f>SUM(H48:H50)</f>
        <v>125039869.92000002</v>
      </c>
      <c r="I51" s="34">
        <f>34920712.02+26578418.06+94822.96</f>
        <v>61593953.039999999</v>
      </c>
      <c r="J51" s="34"/>
      <c r="K51" s="105">
        <f>SUM(K48:K50)</f>
        <v>-124945171.92000002</v>
      </c>
      <c r="L51" s="34"/>
      <c r="M51" s="51"/>
      <c r="N51" s="105">
        <f>SUM(N48:N50)</f>
        <v>94698</v>
      </c>
      <c r="P51" s="20"/>
      <c r="Q51" s="18"/>
      <c r="S51" s="57"/>
      <c r="T51" s="61"/>
      <c r="U51" s="61"/>
      <c r="V51" s="40"/>
      <c r="W51" s="40"/>
      <c r="X51" s="45"/>
      <c r="AC51" s="18"/>
    </row>
    <row r="52" spans="2:32" ht="13.5" customHeight="1">
      <c r="B52" s="29" t="s">
        <v>74</v>
      </c>
      <c r="C52" s="29"/>
      <c r="D52" s="29"/>
      <c r="E52" s="29"/>
      <c r="F52" s="29"/>
      <c r="G52" s="35"/>
      <c r="H52" s="34">
        <f>101246000+101587000</f>
        <v>202833000</v>
      </c>
      <c r="I52" s="34"/>
      <c r="J52" s="34"/>
      <c r="K52" s="34">
        <f>+X92*1000</f>
        <v>174589000</v>
      </c>
      <c r="L52" s="34"/>
      <c r="M52" s="51"/>
      <c r="N52" s="34">
        <f>101246000+101587000+174589000</f>
        <v>377422000</v>
      </c>
      <c r="P52" s="20"/>
      <c r="Q52" s="18"/>
      <c r="S52" s="57"/>
      <c r="T52" s="61"/>
      <c r="U52" s="61"/>
      <c r="V52" s="40"/>
      <c r="W52" s="40"/>
      <c r="X52" s="45"/>
      <c r="AC52" s="18"/>
    </row>
    <row r="53" spans="2:32" ht="13.5" customHeight="1">
      <c r="B53" t="s">
        <v>99</v>
      </c>
      <c r="C53" s="29"/>
      <c r="D53" s="29"/>
      <c r="E53" s="29"/>
      <c r="F53" s="29"/>
      <c r="G53" s="35"/>
      <c r="H53" s="22">
        <f>-41435530.02-30432815.6</f>
        <v>-71868345.620000005</v>
      </c>
      <c r="I53" s="107"/>
      <c r="J53" s="107"/>
      <c r="K53" s="107">
        <f>+K50</f>
        <v>-87846173.200000018</v>
      </c>
      <c r="L53" s="107"/>
      <c r="M53" s="22"/>
      <c r="N53" s="107">
        <f>+N50</f>
        <v>-159714518.81999999</v>
      </c>
      <c r="P53" s="20"/>
      <c r="Q53" s="18"/>
      <c r="S53" s="57"/>
      <c r="T53" s="61"/>
      <c r="U53" s="61"/>
      <c r="V53" s="40"/>
      <c r="W53" s="40"/>
      <c r="X53" s="45"/>
      <c r="AC53" s="18"/>
    </row>
    <row r="54" spans="2:32" ht="13.5" customHeight="1">
      <c r="B54" s="29" t="s">
        <v>43</v>
      </c>
      <c r="C54" s="29"/>
      <c r="D54" s="29"/>
      <c r="E54" s="29"/>
      <c r="F54" s="29"/>
      <c r="G54" s="35"/>
      <c r="H54" s="105">
        <f>+H52+H53</f>
        <v>130964654.38</v>
      </c>
      <c r="I54" s="34"/>
      <c r="J54" s="34"/>
      <c r="K54" s="105">
        <f>+K52+K53</f>
        <v>86742826.799999982</v>
      </c>
      <c r="L54" s="34"/>
      <c r="M54" s="34"/>
      <c r="N54" s="105">
        <f>+N52+N53:N53</f>
        <v>217707481.18000001</v>
      </c>
      <c r="P54" s="20"/>
      <c r="Q54" s="18"/>
      <c r="S54" s="57"/>
      <c r="T54" s="61"/>
      <c r="U54" s="61"/>
      <c r="V54" s="40"/>
      <c r="W54" s="40"/>
      <c r="X54" s="45"/>
      <c r="AC54" s="18"/>
    </row>
    <row r="55" spans="2:32" ht="13.5" customHeight="1">
      <c r="B55" s="26" t="s">
        <v>42</v>
      </c>
      <c r="C55" s="26"/>
      <c r="E55" s="29"/>
      <c r="F55" s="29"/>
      <c r="G55" s="35"/>
      <c r="H55" s="34"/>
      <c r="I55" s="34"/>
      <c r="J55" s="34"/>
      <c r="K55" s="34"/>
      <c r="L55" s="34"/>
      <c r="M55" s="34"/>
      <c r="N55" s="34"/>
      <c r="P55" s="20"/>
      <c r="S55" s="57"/>
      <c r="T55" s="61"/>
      <c r="U55" s="61"/>
      <c r="V55" s="40"/>
      <c r="W55" s="40"/>
      <c r="X55" s="45"/>
      <c r="AC55" s="18"/>
    </row>
    <row r="56" spans="2:32" ht="13.5" customHeight="1">
      <c r="B56" s="26" t="s">
        <v>73</v>
      </c>
      <c r="C56" s="26"/>
      <c r="E56" s="29"/>
      <c r="F56" s="29"/>
      <c r="G56" s="35"/>
      <c r="H56" s="34"/>
      <c r="I56" s="34"/>
      <c r="J56" s="34"/>
      <c r="K56" s="34"/>
      <c r="L56" s="34"/>
      <c r="M56" s="34"/>
      <c r="N56" s="34"/>
      <c r="P56" s="108"/>
      <c r="S56" s="57"/>
      <c r="T56" s="61"/>
      <c r="U56" s="61"/>
      <c r="V56" s="40"/>
      <c r="W56" s="40"/>
      <c r="X56" s="45"/>
      <c r="AC56" s="18"/>
    </row>
    <row r="57" spans="2:32" ht="13.5" customHeight="1">
      <c r="B57" s="26"/>
      <c r="C57" s="26" t="s">
        <v>102</v>
      </c>
      <c r="E57" s="29"/>
      <c r="F57" s="29"/>
      <c r="G57" s="35"/>
      <c r="H57" s="34"/>
      <c r="I57" s="34"/>
      <c r="J57" s="34"/>
      <c r="K57" s="34"/>
      <c r="L57" s="34"/>
      <c r="M57" s="34"/>
      <c r="N57" s="34"/>
      <c r="S57" s="57"/>
      <c r="T57" s="61"/>
      <c r="U57" s="61"/>
      <c r="V57" s="40"/>
      <c r="W57" s="40"/>
      <c r="X57" s="45"/>
      <c r="AC57" s="18"/>
    </row>
    <row r="58" spans="2:32" ht="15" customHeight="1">
      <c r="B58" s="26"/>
      <c r="C58" s="26"/>
      <c r="F58" t="s">
        <v>44</v>
      </c>
      <c r="H58" s="20"/>
      <c r="I58" s="20"/>
      <c r="J58" s="20"/>
      <c r="K58" s="20"/>
      <c r="L58" t="s">
        <v>47</v>
      </c>
      <c r="M58" s="20"/>
      <c r="N58" s="20"/>
      <c r="O58" s="43"/>
      <c r="S58" s="56"/>
      <c r="T58" s="60"/>
      <c r="U58" s="61"/>
      <c r="V58" s="40"/>
      <c r="W58" s="63"/>
      <c r="X58" s="45"/>
    </row>
    <row r="59" spans="2:32" ht="15" customHeight="1">
      <c r="B59" s="26"/>
      <c r="C59" s="26"/>
      <c r="D59" s="26"/>
      <c r="H59" s="20"/>
      <c r="I59" s="20"/>
      <c r="J59" s="20"/>
      <c r="K59" s="20"/>
      <c r="M59" s="20"/>
      <c r="N59" s="20"/>
      <c r="O59" s="43"/>
      <c r="S59" s="56"/>
      <c r="T59" s="61"/>
      <c r="U59" s="61"/>
      <c r="V59" s="40"/>
      <c r="W59" s="40"/>
      <c r="X59" s="45"/>
    </row>
    <row r="60" spans="2:32" ht="15" customHeight="1">
      <c r="B60" s="16"/>
      <c r="C60" s="16"/>
      <c r="D60" s="16"/>
      <c r="E60" s="16"/>
      <c r="F60" s="38" t="s">
        <v>49</v>
      </c>
      <c r="L60" s="38" t="s">
        <v>72</v>
      </c>
      <c r="N60" s="22"/>
      <c r="O60" s="18"/>
      <c r="P60" s="18"/>
      <c r="S60" s="56"/>
      <c r="T60" s="60"/>
      <c r="U60" s="61"/>
      <c r="V60" s="62"/>
      <c r="W60" s="61"/>
      <c r="X60" s="45"/>
    </row>
    <row r="61" spans="2:32" ht="15" customHeight="1">
      <c r="B61" s="28"/>
      <c r="C61" s="28"/>
      <c r="D61" s="16"/>
      <c r="E61" s="16"/>
      <c r="F61" t="s">
        <v>46</v>
      </c>
      <c r="L61" t="s">
        <v>71</v>
      </c>
      <c r="N61" s="51"/>
      <c r="S61" s="57"/>
      <c r="T61" s="61"/>
      <c r="U61" s="61"/>
      <c r="V61" s="40"/>
      <c r="W61" s="40"/>
      <c r="X61" s="45"/>
    </row>
    <row r="62" spans="2:32">
      <c r="F62" t="s">
        <v>45</v>
      </c>
      <c r="L62" t="s">
        <v>48</v>
      </c>
      <c r="N62" s="22"/>
      <c r="S62" s="57"/>
      <c r="T62" s="61"/>
      <c r="U62" s="61"/>
      <c r="V62" s="40"/>
      <c r="W62" s="40"/>
      <c r="X62" s="16"/>
    </row>
    <row r="63" spans="2:32">
      <c r="L63" t="s">
        <v>45</v>
      </c>
      <c r="N63" s="22"/>
      <c r="S63" s="57"/>
      <c r="T63" s="57"/>
      <c r="U63" s="57"/>
      <c r="V63" s="40"/>
      <c r="W63" s="50"/>
    </row>
    <row r="64" spans="2:32">
      <c r="S64" s="56"/>
      <c r="T64" s="56"/>
      <c r="U64" s="57"/>
      <c r="V64" s="62"/>
      <c r="W64" s="57"/>
    </row>
    <row r="65" spans="14:29">
      <c r="S65" s="26"/>
    </row>
    <row r="67" spans="14:29">
      <c r="T67" s="39" t="s">
        <v>78</v>
      </c>
      <c r="U67" s="39"/>
      <c r="X67" s="19"/>
      <c r="Y67" s="18"/>
    </row>
    <row r="68" spans="14:29">
      <c r="N68" s="43"/>
      <c r="T68" s="54" t="s">
        <v>64</v>
      </c>
      <c r="U68" s="54"/>
      <c r="V68" s="45"/>
      <c r="W68" s="45"/>
      <c r="X68" s="55"/>
    </row>
    <row r="69" spans="14:29">
      <c r="T69" s="56" t="s">
        <v>124</v>
      </c>
      <c r="U69" s="57"/>
      <c r="V69" s="57"/>
      <c r="W69" s="57"/>
      <c r="X69" s="58"/>
      <c r="Y69" s="18"/>
    </row>
    <row r="70" spans="14:29">
      <c r="T70" s="56"/>
      <c r="U70" s="57"/>
      <c r="V70" s="57"/>
      <c r="W70" s="57"/>
      <c r="X70" s="58"/>
      <c r="Y70" s="91" t="s">
        <v>127</v>
      </c>
      <c r="AB70" s="95" t="s">
        <v>95</v>
      </c>
    </row>
    <row r="71" spans="14:29">
      <c r="S71" s="82" t="s">
        <v>82</v>
      </c>
      <c r="T71" s="83"/>
      <c r="U71" s="84"/>
      <c r="V71" s="103"/>
      <c r="W71" s="84"/>
      <c r="X71" s="85"/>
      <c r="Y71" s="86" t="s">
        <v>107</v>
      </c>
      <c r="AB71" s="109">
        <v>42795</v>
      </c>
    </row>
    <row r="72" spans="14:29">
      <c r="N72" s="22"/>
      <c r="S72" s="89" t="s">
        <v>83</v>
      </c>
      <c r="T72" s="60" t="s">
        <v>80</v>
      </c>
      <c r="U72" s="61" t="s">
        <v>4</v>
      </c>
      <c r="V72" s="40">
        <v>19931</v>
      </c>
      <c r="W72" s="40"/>
      <c r="X72" s="69"/>
      <c r="Y72" s="79"/>
      <c r="AB72" s="96"/>
    </row>
    <row r="73" spans="14:29">
      <c r="N73" s="22"/>
      <c r="S73" s="72"/>
      <c r="T73" s="61"/>
      <c r="U73" s="61" t="s">
        <v>5</v>
      </c>
      <c r="V73" s="40">
        <v>33792</v>
      </c>
      <c r="W73" s="40"/>
      <c r="X73" s="69"/>
      <c r="Y73" s="79"/>
      <c r="AB73" s="96"/>
    </row>
    <row r="74" spans="14:29">
      <c r="N74" s="22"/>
      <c r="S74" s="72"/>
      <c r="T74" s="61"/>
      <c r="U74" s="61" t="s">
        <v>7</v>
      </c>
      <c r="V74" s="48">
        <v>82902</v>
      </c>
      <c r="W74" s="40">
        <f>SUM(V72:V74)</f>
        <v>136625</v>
      </c>
      <c r="X74" s="69"/>
      <c r="Y74" s="80">
        <f>+W74</f>
        <v>136625</v>
      </c>
      <c r="Z74" s="18"/>
      <c r="AB74" s="96"/>
    </row>
    <row r="75" spans="14:29">
      <c r="N75" s="22"/>
      <c r="S75" s="72"/>
      <c r="T75" s="60" t="s">
        <v>116</v>
      </c>
      <c r="U75" s="61" t="s">
        <v>5</v>
      </c>
      <c r="V75" s="40"/>
      <c r="W75" s="40">
        <v>4992</v>
      </c>
      <c r="X75" s="69"/>
      <c r="Y75" s="80">
        <f>+W75</f>
        <v>4992</v>
      </c>
      <c r="Z75" s="18"/>
      <c r="AB75" s="96"/>
    </row>
    <row r="76" spans="14:29">
      <c r="N76" s="22"/>
      <c r="P76" s="43"/>
      <c r="S76" s="70" t="s">
        <v>81</v>
      </c>
      <c r="T76" s="60"/>
      <c r="U76" s="61"/>
      <c r="V76" s="40"/>
      <c r="W76" s="40"/>
      <c r="X76" s="73"/>
      <c r="Y76" s="80"/>
      <c r="Z76" s="18"/>
      <c r="AB76" s="96"/>
    </row>
    <row r="77" spans="14:29">
      <c r="N77" s="22"/>
      <c r="P77" s="43"/>
      <c r="S77" s="72"/>
      <c r="T77" s="60" t="s">
        <v>89</v>
      </c>
      <c r="U77" s="61" t="s">
        <v>4</v>
      </c>
      <c r="V77" s="40">
        <v>0</v>
      </c>
      <c r="W77" s="40"/>
      <c r="X77" s="73"/>
      <c r="Y77" s="80">
        <v>0</v>
      </c>
      <c r="Z77" s="93"/>
      <c r="AA77" s="94"/>
      <c r="AB77" s="110">
        <v>94698</v>
      </c>
      <c r="AC77" s="88" t="s">
        <v>98</v>
      </c>
    </row>
    <row r="78" spans="14:29">
      <c r="N78" s="22"/>
      <c r="P78" s="43"/>
      <c r="S78" s="72"/>
      <c r="T78" s="60" t="s">
        <v>90</v>
      </c>
      <c r="U78" s="61" t="s">
        <v>5</v>
      </c>
      <c r="V78" s="48">
        <v>0</v>
      </c>
      <c r="W78" s="40">
        <f>+V77+V78</f>
        <v>0</v>
      </c>
      <c r="X78" s="73"/>
      <c r="Y78" s="80">
        <v>0</v>
      </c>
      <c r="AB78" s="96"/>
    </row>
    <row r="79" spans="14:29">
      <c r="N79" s="22"/>
      <c r="P79" s="43"/>
      <c r="S79" s="60" t="s">
        <v>91</v>
      </c>
      <c r="T79" s="60"/>
      <c r="U79" s="61" t="s">
        <v>4</v>
      </c>
      <c r="V79" s="40"/>
      <c r="W79" s="48">
        <v>2025</v>
      </c>
      <c r="X79" s="71">
        <f>SUM(W74:W79)</f>
        <v>143642</v>
      </c>
      <c r="Y79" s="80">
        <f>+W79</f>
        <v>2025</v>
      </c>
      <c r="Z79" s="88" t="s">
        <v>63</v>
      </c>
      <c r="AB79" s="96"/>
    </row>
    <row r="80" spans="14:29">
      <c r="N80" s="22"/>
      <c r="S80" s="90" t="s">
        <v>84</v>
      </c>
      <c r="T80" s="60"/>
      <c r="U80" s="61"/>
      <c r="V80" s="40"/>
      <c r="W80" s="40"/>
      <c r="X80" s="69"/>
      <c r="Y80" s="79"/>
      <c r="AB80" s="96"/>
    </row>
    <row r="81" spans="14:29">
      <c r="N81" s="22"/>
      <c r="S81" s="87"/>
      <c r="T81" s="60" t="s">
        <v>93</v>
      </c>
      <c r="U81" s="61" t="s">
        <v>4</v>
      </c>
      <c r="V81" s="40"/>
      <c r="W81" s="40">
        <v>0</v>
      </c>
      <c r="X81" s="73"/>
      <c r="Y81" s="80">
        <f>+W81</f>
        <v>0</v>
      </c>
      <c r="AB81" s="96"/>
    </row>
    <row r="82" spans="14:29">
      <c r="S82" s="87"/>
      <c r="T82" s="60" t="s">
        <v>92</v>
      </c>
      <c r="U82" s="61" t="s">
        <v>4</v>
      </c>
      <c r="V82" s="40">
        <v>0</v>
      </c>
      <c r="W82" s="40"/>
      <c r="X82" s="69"/>
      <c r="Y82" s="80">
        <v>0</v>
      </c>
      <c r="AB82" s="96"/>
    </row>
    <row r="83" spans="14:29">
      <c r="S83" s="87"/>
      <c r="T83" s="60"/>
      <c r="U83" s="61" t="s">
        <v>5</v>
      </c>
      <c r="V83" s="48">
        <v>236</v>
      </c>
      <c r="W83" s="40">
        <f>SUM(V82:V83)</f>
        <v>236</v>
      </c>
      <c r="X83" s="69"/>
      <c r="Y83" s="80">
        <f>+W83</f>
        <v>236</v>
      </c>
      <c r="AB83" s="96"/>
    </row>
    <row r="84" spans="14:29">
      <c r="S84" s="87"/>
      <c r="T84" s="60" t="s">
        <v>85</v>
      </c>
      <c r="U84" s="61"/>
      <c r="V84" s="40"/>
      <c r="W84" s="40"/>
      <c r="X84" s="69"/>
      <c r="Y84" s="79"/>
      <c r="AB84" s="96"/>
    </row>
    <row r="85" spans="14:29">
      <c r="S85" s="87"/>
      <c r="T85" s="60"/>
      <c r="U85" s="61" t="s">
        <v>4</v>
      </c>
      <c r="V85" s="40">
        <v>0</v>
      </c>
      <c r="W85" s="63"/>
      <c r="X85" s="69"/>
      <c r="Y85" s="79"/>
      <c r="AB85" s="96"/>
    </row>
    <row r="86" spans="14:29">
      <c r="S86" s="87"/>
      <c r="T86" s="60"/>
      <c r="U86" s="61" t="s">
        <v>5</v>
      </c>
      <c r="V86" s="40">
        <v>0</v>
      </c>
      <c r="W86" s="40"/>
      <c r="X86" s="69"/>
      <c r="Y86" s="80"/>
      <c r="AB86" s="96"/>
    </row>
    <row r="87" spans="14:29">
      <c r="S87" s="87"/>
      <c r="T87" s="60"/>
      <c r="U87" s="61" t="s">
        <v>7</v>
      </c>
      <c r="V87" s="48">
        <v>21307</v>
      </c>
      <c r="W87" s="48">
        <f>SUM(V85:V87)</f>
        <v>21307</v>
      </c>
      <c r="X87" s="74">
        <f>SUM(W81:W87)</f>
        <v>21543</v>
      </c>
      <c r="Y87" s="80">
        <f>+W87</f>
        <v>21307</v>
      </c>
      <c r="AB87" s="96"/>
    </row>
    <row r="88" spans="14:29">
      <c r="S88" s="87"/>
      <c r="T88" s="60" t="s">
        <v>86</v>
      </c>
      <c r="U88" s="60"/>
      <c r="V88" s="63"/>
      <c r="W88" s="63"/>
      <c r="X88" s="73">
        <f>SUM(X79:X87)</f>
        <v>165185</v>
      </c>
      <c r="Y88" s="79"/>
      <c r="AB88" s="96"/>
    </row>
    <row r="89" spans="14:29">
      <c r="S89" s="90" t="s">
        <v>87</v>
      </c>
      <c r="T89" s="61"/>
      <c r="U89" s="61" t="s">
        <v>4</v>
      </c>
      <c r="V89" s="40"/>
      <c r="W89" s="40">
        <v>2215</v>
      </c>
      <c r="X89" s="69"/>
      <c r="Y89" s="79"/>
      <c r="AB89" s="96"/>
    </row>
    <row r="90" spans="14:29">
      <c r="S90" s="87"/>
      <c r="T90" s="61"/>
      <c r="U90" s="61" t="s">
        <v>5</v>
      </c>
      <c r="V90" s="40"/>
      <c r="W90" s="40">
        <v>1915</v>
      </c>
      <c r="X90" s="69"/>
      <c r="Y90" s="79"/>
      <c r="AB90" s="96"/>
    </row>
    <row r="91" spans="14:29">
      <c r="S91" s="87"/>
      <c r="T91" s="61"/>
      <c r="U91" s="61" t="s">
        <v>7</v>
      </c>
      <c r="V91" s="40"/>
      <c r="W91" s="48">
        <v>5274</v>
      </c>
      <c r="X91" s="74">
        <f>SUM(W89:W91)</f>
        <v>9404</v>
      </c>
      <c r="Y91" s="104"/>
      <c r="AB91" s="98"/>
    </row>
    <row r="92" spans="14:29">
      <c r="S92" s="90" t="s">
        <v>88</v>
      </c>
      <c r="T92" s="60"/>
      <c r="U92" s="61"/>
      <c r="V92" s="62"/>
      <c r="W92" s="68"/>
      <c r="X92" s="73">
        <f>+X88+X91</f>
        <v>174589</v>
      </c>
      <c r="Y92" s="80">
        <f>SUM(Y74:Y87)</f>
        <v>165185</v>
      </c>
      <c r="Z92" s="88" t="s">
        <v>125</v>
      </c>
      <c r="AB92" s="111">
        <f>SUM(AB74:AB91)</f>
        <v>94698</v>
      </c>
      <c r="AC92" s="88" t="s">
        <v>125</v>
      </c>
    </row>
    <row r="93" spans="14:29">
      <c r="S93" s="75"/>
      <c r="T93" s="76"/>
      <c r="U93" s="76"/>
      <c r="V93" s="76"/>
      <c r="W93" s="77"/>
      <c r="X93" s="78"/>
      <c r="Y93" s="81"/>
      <c r="AB93" s="98"/>
    </row>
    <row r="94" spans="14:29">
      <c r="AB94" s="43">
        <f>+(Y92*1000)+94698</f>
        <v>165279698</v>
      </c>
      <c r="AC94" t="s">
        <v>126</v>
      </c>
    </row>
    <row r="95" spans="14:29">
      <c r="X95" s="18"/>
      <c r="Y95" s="18"/>
      <c r="AB95" s="18"/>
    </row>
    <row r="96" spans="14:29">
      <c r="X96" s="18"/>
    </row>
    <row r="97" spans="24:24">
      <c r="X97" s="18"/>
    </row>
  </sheetData>
  <mergeCells count="14">
    <mergeCell ref="W34:Y34"/>
    <mergeCell ref="Z34:AA34"/>
    <mergeCell ref="A13:F13"/>
    <mergeCell ref="L13:P13"/>
    <mergeCell ref="Q13:U13"/>
    <mergeCell ref="A15:F15"/>
    <mergeCell ref="G34:I34"/>
    <mergeCell ref="K34:L34"/>
    <mergeCell ref="AB12:AF12"/>
    <mergeCell ref="A2:R2"/>
    <mergeCell ref="A3:R3"/>
    <mergeCell ref="G12:K12"/>
    <mergeCell ref="L12:V12"/>
    <mergeCell ref="X12:AA12"/>
  </mergeCells>
  <printOptions horizontalCentered="1"/>
  <pageMargins left="0" right="0" top="0.18" bottom="0" header="0.17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9"/>
  <sheetViews>
    <sheetView workbookViewId="0">
      <selection activeCell="O4" sqref="O4"/>
    </sheetView>
  </sheetViews>
  <sheetFormatPr defaultRowHeight="15"/>
  <cols>
    <col min="1" max="1" width="1.28515625" customWidth="1"/>
    <col min="2" max="3" width="5.140625" customWidth="1"/>
    <col min="4" max="4" width="39.85546875" customWidth="1"/>
    <col min="5" max="5" width="1.28515625" customWidth="1"/>
    <col min="6" max="6" width="8.42578125" customWidth="1"/>
    <col min="7" max="7" width="12.85546875" customWidth="1"/>
    <col min="8" max="8" width="13.5703125" customWidth="1"/>
    <col min="9" max="9" width="17.5703125" customWidth="1"/>
    <col min="10" max="10" width="12.5703125" customWidth="1"/>
    <col min="11" max="11" width="12.7109375" customWidth="1"/>
    <col min="12" max="12" width="12" customWidth="1"/>
    <col min="13" max="14" width="13.140625" customWidth="1"/>
    <col min="15" max="15" width="17.5703125" customWidth="1"/>
    <col min="16" max="16" width="12.85546875" customWidth="1"/>
    <col min="17" max="17" width="9.140625" customWidth="1"/>
    <col min="18" max="18" width="12.140625" customWidth="1"/>
    <col min="19" max="19" width="9.140625" customWidth="1"/>
    <col min="20" max="20" width="14" customWidth="1"/>
    <col min="21" max="23" width="12" customWidth="1"/>
    <col min="24" max="24" width="12.5703125" customWidth="1"/>
    <col min="25" max="25" width="12" customWidth="1"/>
    <col min="26" max="26" width="10" customWidth="1"/>
    <col min="27" max="27" width="11.28515625" customWidth="1"/>
    <col min="28" max="28" width="14.42578125" customWidth="1"/>
    <col min="29" max="29" width="13.5703125" customWidth="1"/>
    <col min="30" max="30" width="8.140625" customWidth="1"/>
    <col min="31" max="32" width="12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75" t="s">
        <v>128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102">
        <f>2020927.9+180294.56</f>
        <v>2201222.46</v>
      </c>
      <c r="H18" s="102">
        <f>2799066.88-10762.5</f>
        <v>2788304.38</v>
      </c>
      <c r="I18" s="32">
        <v>0</v>
      </c>
      <c r="J18" s="32">
        <v>74957.149999999994</v>
      </c>
      <c r="K18" s="32">
        <f>SUM(G18:J18)</f>
        <v>5064483.99</v>
      </c>
      <c r="L18" s="42"/>
      <c r="M18" s="42">
        <v>1581496.3200000001</v>
      </c>
      <c r="N18" s="42">
        <v>0</v>
      </c>
      <c r="O18" s="42">
        <v>459591.39</v>
      </c>
      <c r="P18" s="32">
        <f>SUM(L18:O18)</f>
        <v>2041087.71</v>
      </c>
      <c r="Q18" s="32">
        <v>0</v>
      </c>
      <c r="R18" s="32">
        <v>46345.75</v>
      </c>
      <c r="S18" s="32">
        <v>0</v>
      </c>
      <c r="T18" s="32">
        <v>374902.45</v>
      </c>
      <c r="U18" s="32">
        <f>SUM(Q18:T18)</f>
        <v>421248.2</v>
      </c>
      <c r="V18" s="32">
        <f>+P18+U18</f>
        <v>2462335.91</v>
      </c>
      <c r="W18" s="32">
        <f>+K18+V18</f>
        <v>7526819.9000000004</v>
      </c>
      <c r="X18" s="32"/>
      <c r="Y18" s="32"/>
      <c r="Z18" s="32"/>
      <c r="AA18" s="32">
        <f>SUM(X18:Z18)</f>
        <v>0</v>
      </c>
      <c r="AB18" s="32">
        <f>+G18+L18+Q18+X18</f>
        <v>2201222.46</v>
      </c>
      <c r="AC18" s="102">
        <f>+H18+M18+R18+Y18</f>
        <v>4416146.45</v>
      </c>
      <c r="AD18" s="32">
        <f>+I18+N18+S18</f>
        <v>0</v>
      </c>
      <c r="AE18" s="32">
        <f>+J18+O18+T18+Z18</f>
        <v>909450.99</v>
      </c>
      <c r="AF18" s="32">
        <f>SUM(AB18:AE18)</f>
        <v>7526819.9000000004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11782220.050000001</v>
      </c>
      <c r="H19" s="32">
        <v>5937301.6699999999</v>
      </c>
      <c r="I19" s="32"/>
      <c r="J19" s="32"/>
      <c r="K19" s="32">
        <f t="shared" ref="K19:K29" si="0">SUM(G19:J19)</f>
        <v>17719521.719999999</v>
      </c>
      <c r="L19" s="32">
        <v>12605.72</v>
      </c>
      <c r="M19" s="32">
        <v>200238.33</v>
      </c>
      <c r="N19" s="32">
        <v>0</v>
      </c>
      <c r="O19" s="32">
        <v>126037.5</v>
      </c>
      <c r="P19" s="32">
        <f t="shared" ref="P19:P29" si="1">SUM(L19:O19)</f>
        <v>338881.55</v>
      </c>
      <c r="Q19" s="32"/>
      <c r="R19" s="32">
        <v>135758</v>
      </c>
      <c r="S19" s="32"/>
      <c r="T19" s="32">
        <v>58463.73</v>
      </c>
      <c r="U19" s="32">
        <f t="shared" ref="U19:U29" si="2">SUM(Q19:T19)</f>
        <v>194221.73</v>
      </c>
      <c r="V19" s="32">
        <f t="shared" ref="V19:V29" si="3">+P19+U19</f>
        <v>533103.28</v>
      </c>
      <c r="W19" s="32">
        <f t="shared" ref="W19:W29" si="4">+K19+V19</f>
        <v>18252625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11794825.770000001</v>
      </c>
      <c r="AC19" s="32">
        <f t="shared" si="6"/>
        <v>6273298</v>
      </c>
      <c r="AD19" s="32">
        <f t="shared" ref="AD19:AD29" si="7">+I19+N19+S19</f>
        <v>0</v>
      </c>
      <c r="AE19" s="32">
        <f t="shared" ref="AE19:AE29" si="8">+J19+O19+T19+Z19</f>
        <v>184501.23</v>
      </c>
      <c r="AF19" s="32">
        <f t="shared" ref="AF19:AF29" si="9">SUM(AB19:AE19)</f>
        <v>18252625.000000004</v>
      </c>
      <c r="AG19" s="10"/>
      <c r="AH19" s="18">
        <f t="shared" ref="AH19:AH29" si="10">+W19+AA19-AF19</f>
        <v>0</v>
      </c>
      <c r="AJ19" s="66">
        <f>+AF18+AF19</f>
        <v>25779444.900000006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>
        <v>25599150.34</v>
      </c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3191813.04</v>
      </c>
      <c r="H23" s="42">
        <v>357911.85</v>
      </c>
      <c r="I23" s="42"/>
      <c r="J23" s="42">
        <v>1746.43</v>
      </c>
      <c r="K23" s="42">
        <f t="shared" si="0"/>
        <v>3551471.3200000003</v>
      </c>
      <c r="L23" s="42">
        <v>0</v>
      </c>
      <c r="M23" s="42">
        <v>538547.77</v>
      </c>
      <c r="N23" s="42">
        <v>0</v>
      </c>
      <c r="O23" s="42">
        <v>26952.11</v>
      </c>
      <c r="P23" s="42">
        <f t="shared" si="1"/>
        <v>565499.88</v>
      </c>
      <c r="Q23" s="42"/>
      <c r="R23" s="42">
        <v>5789.89</v>
      </c>
      <c r="S23" s="42"/>
      <c r="T23" s="42">
        <v>24993.5</v>
      </c>
      <c r="U23" s="42">
        <f t="shared" si="2"/>
        <v>30783.39</v>
      </c>
      <c r="V23" s="42">
        <f t="shared" si="3"/>
        <v>596283.27</v>
      </c>
      <c r="W23" s="42">
        <f t="shared" si="4"/>
        <v>4147754.5900000003</v>
      </c>
      <c r="X23" s="42"/>
      <c r="Y23" s="42"/>
      <c r="Z23" s="42"/>
      <c r="AA23" s="42">
        <f t="shared" si="5"/>
        <v>0</v>
      </c>
      <c r="AB23" s="42">
        <f t="shared" si="6"/>
        <v>3191813.04</v>
      </c>
      <c r="AC23" s="42">
        <f t="shared" si="6"/>
        <v>902249.51</v>
      </c>
      <c r="AD23" s="42">
        <f t="shared" si="7"/>
        <v>0</v>
      </c>
      <c r="AE23" s="42">
        <f t="shared" si="8"/>
        <v>53692.04</v>
      </c>
      <c r="AF23" s="42">
        <f t="shared" si="9"/>
        <v>4147754.59</v>
      </c>
      <c r="AG23" s="10"/>
      <c r="AH23" s="18">
        <f t="shared" si="10"/>
        <v>0</v>
      </c>
      <c r="AJ23" s="18">
        <f>+AJ19-AJ21</f>
        <v>180294.56000000611</v>
      </c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25779444.900000006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0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17175255.550000001</v>
      </c>
      <c r="H31" s="33">
        <f t="shared" ref="H31:AH31" si="11">SUM(H18:H29)</f>
        <v>9083517.9000000004</v>
      </c>
      <c r="I31" s="33">
        <f t="shared" si="11"/>
        <v>0</v>
      </c>
      <c r="J31" s="33">
        <f t="shared" si="11"/>
        <v>76703.579999999987</v>
      </c>
      <c r="K31" s="33">
        <f t="shared" si="11"/>
        <v>26335477.030000001</v>
      </c>
      <c r="L31" s="33">
        <f t="shared" si="11"/>
        <v>12605.72</v>
      </c>
      <c r="M31" s="33">
        <f t="shared" si="11"/>
        <v>2320282.42</v>
      </c>
      <c r="N31" s="33">
        <f t="shared" si="11"/>
        <v>0</v>
      </c>
      <c r="O31" s="33">
        <f t="shared" si="11"/>
        <v>612581</v>
      </c>
      <c r="P31" s="33">
        <f t="shared" si="11"/>
        <v>2945469.1399999997</v>
      </c>
      <c r="Q31" s="33">
        <f t="shared" si="11"/>
        <v>0</v>
      </c>
      <c r="R31" s="33">
        <f t="shared" si="11"/>
        <v>187893.64</v>
      </c>
      <c r="S31" s="33">
        <f t="shared" si="11"/>
        <v>0</v>
      </c>
      <c r="T31" s="33">
        <f t="shared" si="11"/>
        <v>458359.68</v>
      </c>
      <c r="U31" s="33">
        <f t="shared" si="11"/>
        <v>646253.32000000007</v>
      </c>
      <c r="V31" s="33">
        <f t="shared" si="11"/>
        <v>3591722.4600000004</v>
      </c>
      <c r="W31" s="33">
        <f t="shared" si="11"/>
        <v>29927199.489999998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17187861.27</v>
      </c>
      <c r="AC31" s="33">
        <f t="shared" si="11"/>
        <v>11591693.959999999</v>
      </c>
      <c r="AD31" s="33">
        <f t="shared" si="11"/>
        <v>0</v>
      </c>
      <c r="AE31" s="33">
        <f t="shared" si="11"/>
        <v>1147644.26</v>
      </c>
      <c r="AF31" s="33">
        <f t="shared" si="11"/>
        <v>29927199.490000006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2:34" ht="4.5" customHeight="1"/>
    <row r="34" spans="2:34">
      <c r="B34" s="29" t="s">
        <v>33</v>
      </c>
      <c r="C34" s="29"/>
      <c r="G34" s="116" t="s">
        <v>137</v>
      </c>
      <c r="H34" s="116"/>
      <c r="I34" s="116"/>
      <c r="K34" s="116" t="s">
        <v>139</v>
      </c>
      <c r="L34" s="116"/>
      <c r="N34" s="113" t="s">
        <v>142</v>
      </c>
      <c r="T34" s="16"/>
      <c r="U34" s="16"/>
      <c r="V34" s="16"/>
      <c r="W34" s="176"/>
      <c r="X34" s="176"/>
      <c r="Y34" s="176"/>
      <c r="Z34" s="179"/>
      <c r="AA34" s="179"/>
      <c r="AB34" s="16"/>
      <c r="AC34" s="16"/>
      <c r="AE34" s="18"/>
    </row>
    <row r="35" spans="2:34" ht="18.75">
      <c r="B35" t="s">
        <v>34</v>
      </c>
      <c r="H35" s="16"/>
      <c r="I35" s="16"/>
      <c r="K35" s="16"/>
      <c r="L35" s="16"/>
      <c r="N35" s="16"/>
      <c r="T35" s="16"/>
      <c r="U35" s="16"/>
      <c r="V35" s="16"/>
      <c r="W35" s="106"/>
      <c r="X35" s="22"/>
      <c r="Y35" s="22"/>
      <c r="Z35" s="22"/>
      <c r="AA35" s="22"/>
      <c r="AB35" s="22"/>
      <c r="AC35" s="22"/>
      <c r="AD35" s="43"/>
      <c r="AH35" s="18"/>
    </row>
    <row r="36" spans="2:34">
      <c r="D36" t="s">
        <v>103</v>
      </c>
      <c r="G36" s="19"/>
      <c r="H36" s="20">
        <f>SUM(G37:G42)</f>
        <v>351913521</v>
      </c>
      <c r="I36" s="20"/>
      <c r="J36" s="20"/>
      <c r="K36" s="44">
        <f>SUM(J37:J42)</f>
        <v>122960760</v>
      </c>
      <c r="L36" s="20"/>
      <c r="M36" s="20"/>
      <c r="N36" s="44">
        <f>SUM(M37:M42)</f>
        <v>474874281</v>
      </c>
      <c r="O36" s="18"/>
      <c r="P36" s="43"/>
      <c r="T36" s="16"/>
      <c r="U36" s="16"/>
      <c r="V36" s="16"/>
      <c r="W36" s="25"/>
      <c r="X36" s="22"/>
      <c r="Y36" s="22"/>
      <c r="Z36" s="22"/>
      <c r="AA36" s="22"/>
      <c r="AB36" s="22"/>
      <c r="AC36" s="22"/>
      <c r="AD36" s="43"/>
    </row>
    <row r="37" spans="2:34">
      <c r="D37" s="26" t="s">
        <v>97</v>
      </c>
      <c r="G37" s="20">
        <f>89000000+93488000+163160000</f>
        <v>345648000</v>
      </c>
      <c r="H37" s="20"/>
      <c r="I37" s="20"/>
      <c r="J37" s="50">
        <v>120179000</v>
      </c>
      <c r="K37" s="20"/>
      <c r="L37" s="20"/>
      <c r="M37" s="20">
        <f>89000000+93488000+163160000+120179000</f>
        <v>465827000</v>
      </c>
      <c r="N37" s="20"/>
      <c r="P37" s="20"/>
      <c r="T37" s="16"/>
      <c r="U37" s="16"/>
      <c r="V37" s="16"/>
      <c r="W37" s="25"/>
      <c r="X37" s="51"/>
      <c r="Y37" s="51"/>
      <c r="Z37" s="51"/>
      <c r="AA37" s="51"/>
      <c r="AB37" s="51"/>
      <c r="AC37" s="51"/>
      <c r="AD37" s="19"/>
    </row>
    <row r="38" spans="2:34">
      <c r="D38" s="26" t="s">
        <v>100</v>
      </c>
      <c r="G38" s="22">
        <f>2026000+2025000+2025000</f>
        <v>6076000</v>
      </c>
      <c r="H38" s="20"/>
      <c r="I38" s="20"/>
      <c r="J38" s="22">
        <v>2026000</v>
      </c>
      <c r="K38" s="20"/>
      <c r="L38" s="20"/>
      <c r="M38" s="22">
        <f>2026000+2025000+2025000+2026000</f>
        <v>8102000</v>
      </c>
      <c r="N38" s="20"/>
      <c r="P38" s="22"/>
      <c r="T38" s="16"/>
      <c r="U38" s="16"/>
      <c r="V38" s="16"/>
      <c r="W38" s="25"/>
      <c r="X38" s="51"/>
      <c r="Y38" s="51"/>
      <c r="Z38" s="51"/>
      <c r="AA38" s="51"/>
      <c r="AB38" s="51"/>
      <c r="AC38" s="51"/>
      <c r="AD38" s="19"/>
    </row>
    <row r="39" spans="2:34">
      <c r="D39" t="s">
        <v>104</v>
      </c>
      <c r="G39" s="22"/>
      <c r="H39" s="20"/>
      <c r="I39" s="20"/>
      <c r="J39" s="22">
        <v>0</v>
      </c>
      <c r="K39" s="20"/>
      <c r="L39" s="20"/>
      <c r="M39" s="22"/>
      <c r="N39" s="20"/>
      <c r="P39" s="22"/>
      <c r="W39" s="19"/>
      <c r="X39" s="51"/>
      <c r="Y39" s="31"/>
      <c r="Z39" s="31"/>
      <c r="AA39" s="51"/>
      <c r="AB39" s="31"/>
      <c r="AC39" s="51"/>
      <c r="AD39" s="19"/>
    </row>
    <row r="40" spans="2:34">
      <c r="D40" s="26" t="s">
        <v>105</v>
      </c>
      <c r="G40" s="22">
        <f>94823+94698</f>
        <v>189521</v>
      </c>
      <c r="H40" s="22"/>
      <c r="I40" s="22"/>
      <c r="J40" s="22">
        <v>0</v>
      </c>
      <c r="K40" s="22"/>
      <c r="L40" s="22"/>
      <c r="M40" s="22">
        <f>94823+94698</f>
        <v>189521</v>
      </c>
      <c r="N40" s="20"/>
      <c r="P40" s="22"/>
      <c r="W40" s="19"/>
      <c r="X40" s="51"/>
      <c r="Y40" s="31"/>
      <c r="Z40" s="31"/>
      <c r="AA40" s="51"/>
      <c r="AB40" s="31"/>
      <c r="AC40" s="51"/>
      <c r="AD40" s="19"/>
    </row>
    <row r="41" spans="2:34">
      <c r="D41" s="26" t="s">
        <v>129</v>
      </c>
      <c r="G41" s="22"/>
      <c r="H41" s="20"/>
      <c r="I41" s="20"/>
      <c r="J41" s="22">
        <v>85598</v>
      </c>
      <c r="K41" s="20"/>
      <c r="L41" s="20"/>
      <c r="M41" s="22">
        <v>85598</v>
      </c>
      <c r="N41" s="20"/>
      <c r="P41" s="22"/>
      <c r="W41" s="19"/>
      <c r="X41" s="51"/>
      <c r="Y41" s="31"/>
      <c r="Z41" s="31"/>
      <c r="AA41" s="51"/>
      <c r="AB41" s="31"/>
      <c r="AC41" s="51"/>
      <c r="AD41" s="19"/>
    </row>
    <row r="42" spans="2:34">
      <c r="D42" s="26" t="s">
        <v>130</v>
      </c>
      <c r="G42" s="21"/>
      <c r="H42" s="20"/>
      <c r="I42" s="20"/>
      <c r="J42" s="21">
        <v>670162</v>
      </c>
      <c r="K42" s="20"/>
      <c r="L42" s="20"/>
      <c r="M42" s="21">
        <v>670162</v>
      </c>
      <c r="N42" s="20"/>
      <c r="P42" s="22"/>
      <c r="W42" s="19"/>
      <c r="X42" s="51"/>
      <c r="Y42" s="31"/>
      <c r="Z42" s="31"/>
      <c r="AA42" s="51"/>
      <c r="AB42" s="31"/>
      <c r="AC42" s="51"/>
      <c r="AD42" s="19"/>
    </row>
    <row r="43" spans="2:34">
      <c r="D43" t="s">
        <v>35</v>
      </c>
      <c r="G43" s="20"/>
      <c r="H43" s="20">
        <v>0</v>
      </c>
      <c r="I43" s="20"/>
      <c r="J43" s="20"/>
      <c r="K43" s="20">
        <v>0</v>
      </c>
      <c r="L43" s="20"/>
      <c r="M43" s="20"/>
      <c r="N43" s="20"/>
      <c r="P43" s="22"/>
      <c r="W43" s="19"/>
      <c r="X43" s="51"/>
      <c r="Y43" s="31"/>
      <c r="Z43" s="31"/>
      <c r="AA43" s="51"/>
      <c r="AB43" s="31"/>
      <c r="AC43" s="22"/>
      <c r="AD43" s="25"/>
      <c r="AE43" s="16"/>
      <c r="AF43" s="16"/>
    </row>
    <row r="44" spans="2:34">
      <c r="D44" t="s">
        <v>36</v>
      </c>
      <c r="G44" s="19"/>
      <c r="H44" s="20">
        <f>6514818+3759574.58+7395098.56</f>
        <v>17669491.140000001</v>
      </c>
      <c r="I44" s="20"/>
      <c r="J44" s="20"/>
      <c r="K44" s="44">
        <f>+AF23</f>
        <v>4147754.59</v>
      </c>
      <c r="L44" s="20"/>
      <c r="M44" s="20"/>
      <c r="N44" s="20">
        <f>6514818+3759574.58+7395098.56+4147754.59</f>
        <v>21817245.73</v>
      </c>
      <c r="O44" s="18"/>
      <c r="P44" s="43"/>
      <c r="W44" s="19"/>
      <c r="X44" s="51"/>
      <c r="Y44" s="31"/>
      <c r="Z44" s="31"/>
      <c r="AA44" s="51"/>
      <c r="AB44" s="31"/>
      <c r="AC44" s="51"/>
      <c r="AD44" s="25"/>
      <c r="AE44" s="16"/>
      <c r="AF44" s="16"/>
    </row>
    <row r="45" spans="2:34">
      <c r="D45" t="s">
        <v>37</v>
      </c>
      <c r="G45" s="19"/>
      <c r="H45" s="20">
        <v>0</v>
      </c>
      <c r="I45" s="20"/>
      <c r="J45" s="20"/>
      <c r="K45" s="20">
        <v>0</v>
      </c>
      <c r="L45" s="20"/>
      <c r="M45" s="20"/>
      <c r="N45" s="20"/>
      <c r="P45" s="43"/>
      <c r="W45" s="19"/>
      <c r="X45" s="22"/>
      <c r="Y45" s="20"/>
      <c r="Z45" s="20"/>
      <c r="AA45" s="20"/>
      <c r="AB45" s="20"/>
      <c r="AC45" s="22"/>
      <c r="AD45" s="25"/>
      <c r="AE45" s="16"/>
      <c r="AF45" s="16"/>
    </row>
    <row r="46" spans="2:34" ht="14.25" customHeight="1">
      <c r="D46" t="s">
        <v>38</v>
      </c>
      <c r="G46" s="19"/>
      <c r="H46" s="20">
        <v>0</v>
      </c>
      <c r="I46" s="20"/>
      <c r="J46" s="20"/>
      <c r="K46" s="20">
        <v>0</v>
      </c>
      <c r="L46" s="20"/>
      <c r="M46" s="20"/>
      <c r="N46" s="20"/>
      <c r="P46" s="43"/>
      <c r="S46" s="39"/>
      <c r="T46" s="39"/>
      <c r="W46" s="19"/>
      <c r="X46" s="22"/>
      <c r="Y46" s="20"/>
      <c r="Z46" s="20"/>
      <c r="AA46" s="20"/>
      <c r="AB46" s="20"/>
      <c r="AC46" s="22"/>
      <c r="AD46" s="25"/>
      <c r="AE46" s="16"/>
      <c r="AF46" s="16"/>
    </row>
    <row r="47" spans="2:34" ht="13.5" customHeight="1">
      <c r="D47" s="15" t="s">
        <v>39</v>
      </c>
      <c r="G47" s="19"/>
      <c r="H47" s="21">
        <v>0</v>
      </c>
      <c r="I47" s="20"/>
      <c r="J47" s="20"/>
      <c r="K47" s="21">
        <v>0</v>
      </c>
      <c r="L47" s="20"/>
      <c r="M47" s="22"/>
      <c r="N47" s="21"/>
      <c r="P47" s="43"/>
      <c r="S47" s="39"/>
      <c r="T47" s="39"/>
      <c r="W47" s="19"/>
      <c r="X47" s="22"/>
      <c r="Y47" s="20"/>
      <c r="Z47" s="20"/>
      <c r="AA47" s="20"/>
      <c r="AB47" s="20"/>
      <c r="AC47" s="22"/>
      <c r="AD47" s="25"/>
      <c r="AE47" s="16"/>
      <c r="AF47" s="16"/>
    </row>
    <row r="48" spans="2:34" ht="13.5" customHeight="1">
      <c r="D48" t="s">
        <v>57</v>
      </c>
      <c r="G48" s="19"/>
      <c r="H48" s="20">
        <f>SUM(H36:H47)</f>
        <v>369583012.13999999</v>
      </c>
      <c r="I48" s="20"/>
      <c r="J48" s="20"/>
      <c r="K48" s="20">
        <f>SUM(K36:K47)</f>
        <v>127108514.59</v>
      </c>
      <c r="L48" s="20"/>
      <c r="M48" s="22"/>
      <c r="N48" s="20">
        <f>SUM(N36:N47)</f>
        <v>496691526.73000002</v>
      </c>
      <c r="O48" s="18"/>
      <c r="P48" s="43"/>
      <c r="S48" s="39"/>
      <c r="T48" s="65"/>
      <c r="U48" s="65"/>
      <c r="V48" s="16"/>
      <c r="W48" s="16"/>
      <c r="X48" s="25"/>
      <c r="Y48" s="20"/>
      <c r="Z48" s="20"/>
      <c r="AA48" s="20"/>
      <c r="AB48" s="20"/>
      <c r="AC48" s="22"/>
      <c r="AD48" s="25"/>
      <c r="AE48" s="16"/>
      <c r="AF48" s="16"/>
    </row>
    <row r="49" spans="2:32">
      <c r="B49" t="s">
        <v>40</v>
      </c>
      <c r="G49" s="19"/>
      <c r="H49" s="21">
        <v>0</v>
      </c>
      <c r="I49" s="22"/>
      <c r="J49" s="22"/>
      <c r="K49" s="21">
        <v>0</v>
      </c>
      <c r="L49" s="22"/>
      <c r="M49" s="22"/>
      <c r="N49" s="21">
        <v>0</v>
      </c>
      <c r="P49" s="43"/>
      <c r="S49" s="54"/>
      <c r="T49" s="54"/>
      <c r="U49" s="54"/>
      <c r="V49" s="45"/>
      <c r="W49" s="45"/>
      <c r="X49" s="55"/>
      <c r="Y49" s="22"/>
      <c r="Z49" s="22"/>
      <c r="AA49" s="22"/>
      <c r="AB49" s="22"/>
      <c r="AC49" s="51"/>
      <c r="AD49" s="25"/>
      <c r="AE49" s="16"/>
      <c r="AF49" s="16"/>
    </row>
    <row r="50" spans="2:32" ht="15" customHeight="1">
      <c r="B50" s="29" t="s">
        <v>41</v>
      </c>
      <c r="C50" s="29"/>
      <c r="G50" s="19"/>
      <c r="H50" s="20">
        <f>+H48-H49</f>
        <v>369583012.13999999</v>
      </c>
      <c r="I50" s="22"/>
      <c r="J50" s="22"/>
      <c r="K50" s="22">
        <f>+K48-K49</f>
        <v>127108514.59</v>
      </c>
      <c r="L50" s="22"/>
      <c r="M50" s="22"/>
      <c r="N50" s="22">
        <f>+N48-N49</f>
        <v>496691526.73000002</v>
      </c>
      <c r="O50" s="18"/>
      <c r="P50" s="43"/>
      <c r="S50" s="56"/>
      <c r="T50" s="60"/>
      <c r="U50" s="61"/>
      <c r="V50" s="61"/>
      <c r="W50" s="61"/>
      <c r="X50" s="55"/>
      <c r="Y50" s="20"/>
      <c r="Z50" s="20"/>
      <c r="AA50" s="20"/>
      <c r="AB50" s="20"/>
      <c r="AC50" s="22"/>
      <c r="AD50" s="25"/>
      <c r="AE50" s="16"/>
      <c r="AF50" s="16"/>
    </row>
    <row r="51" spans="2:32" ht="15" customHeight="1">
      <c r="B51" t="s">
        <v>56</v>
      </c>
      <c r="D51" t="s">
        <v>69</v>
      </c>
      <c r="G51" s="19"/>
      <c r="H51" s="20">
        <f>-0.04-209773795.28</f>
        <v>-209773795.31999999</v>
      </c>
      <c r="I51" s="22"/>
      <c r="J51" s="22"/>
      <c r="K51" s="22">
        <v>0</v>
      </c>
      <c r="L51" s="22"/>
      <c r="M51" s="22"/>
      <c r="N51" s="20">
        <f>-0.04-209773795.28</f>
        <v>-209773795.31999999</v>
      </c>
      <c r="O51" s="18"/>
      <c r="P51" s="43"/>
      <c r="S51" s="56"/>
      <c r="T51" s="60"/>
      <c r="U51" s="61"/>
      <c r="V51" s="61"/>
      <c r="W51" s="61"/>
      <c r="X51" s="55"/>
      <c r="Y51" s="20"/>
      <c r="Z51" s="20"/>
      <c r="AA51" s="20"/>
      <c r="AB51" s="20"/>
      <c r="AC51" s="22"/>
      <c r="AD51" s="25"/>
      <c r="AE51" s="16"/>
      <c r="AF51" s="16"/>
    </row>
    <row r="52" spans="2:32" ht="16.5" customHeight="1">
      <c r="D52" t="s">
        <v>75</v>
      </c>
      <c r="G52" s="19"/>
      <c r="H52" s="22">
        <f>-41435530.02-30432815.6-88102173.2+256000</f>
        <v>-159714518.81999999</v>
      </c>
      <c r="I52" s="22">
        <f>+H52+H44</f>
        <v>-142045027.68000001</v>
      </c>
      <c r="J52" s="22"/>
      <c r="K52" s="22">
        <f>-AF31</f>
        <v>-29927199.490000006</v>
      </c>
      <c r="L52" s="22">
        <f>+K52+K44</f>
        <v>-25779444.900000006</v>
      </c>
      <c r="M52" s="22"/>
      <c r="N52" s="22">
        <f>-41435530.02-30432815.6-88102173.2+256000-29927199.49</f>
        <v>-189641718.31</v>
      </c>
      <c r="O52" s="22">
        <f>+I52+L52</f>
        <v>-167824472.58000001</v>
      </c>
      <c r="P52" s="43"/>
      <c r="S52" s="57"/>
      <c r="T52" s="61"/>
      <c r="U52" s="61"/>
      <c r="V52" s="40"/>
      <c r="W52" s="40"/>
      <c r="X52" s="55"/>
      <c r="Y52" s="20"/>
      <c r="Z52" s="20"/>
      <c r="AA52" s="20"/>
      <c r="AB52" s="20"/>
      <c r="AC52" s="22"/>
      <c r="AD52" s="25"/>
      <c r="AE52" s="16"/>
      <c r="AF52" s="16"/>
    </row>
    <row r="53" spans="2:32" ht="13.5" customHeight="1">
      <c r="B53" s="29" t="s">
        <v>61</v>
      </c>
      <c r="C53" s="29"/>
      <c r="D53" s="29"/>
      <c r="E53" s="29"/>
      <c r="F53" s="29"/>
      <c r="G53" s="35"/>
      <c r="H53" s="105">
        <f>SUM(H50:H52)</f>
        <v>94698</v>
      </c>
      <c r="I53" s="34"/>
      <c r="J53" s="34"/>
      <c r="K53" s="105">
        <f>SUM(K50:K52)</f>
        <v>97181315.099999994</v>
      </c>
      <c r="L53" s="34">
        <f>25599150.34+180294.56</f>
        <v>25779444.899999999</v>
      </c>
      <c r="M53" s="51"/>
      <c r="N53" s="105">
        <f>SUM(N50:N52)</f>
        <v>97276013.100000024</v>
      </c>
      <c r="O53" s="43">
        <f>+N52+N44</f>
        <v>-167824472.58000001</v>
      </c>
      <c r="P53" s="43"/>
      <c r="S53" s="57"/>
      <c r="T53" s="61"/>
      <c r="U53" s="61"/>
      <c r="V53" s="40"/>
      <c r="W53" s="40"/>
      <c r="X53" s="45"/>
      <c r="AC53" s="18"/>
    </row>
    <row r="54" spans="2:32" ht="13.5" customHeight="1">
      <c r="B54" s="29" t="s">
        <v>74</v>
      </c>
      <c r="C54" s="29"/>
      <c r="D54" s="29"/>
      <c r="E54" s="29"/>
      <c r="F54" s="29"/>
      <c r="G54" s="35"/>
      <c r="H54" s="34">
        <f>101246000+101587000+174589000</f>
        <v>377422000</v>
      </c>
      <c r="I54" s="34"/>
      <c r="J54" s="34"/>
      <c r="K54" s="34">
        <v>131372000</v>
      </c>
      <c r="L54" s="34"/>
      <c r="M54" s="51"/>
      <c r="N54" s="34">
        <f>101246000+101587000+174589000+131372000</f>
        <v>508794000</v>
      </c>
      <c r="O54" s="18"/>
      <c r="P54" s="43"/>
      <c r="S54" s="57"/>
      <c r="T54" s="61"/>
      <c r="U54" s="61"/>
      <c r="V54" s="40"/>
      <c r="W54" s="40"/>
      <c r="X54" s="45"/>
      <c r="AC54" s="18"/>
    </row>
    <row r="55" spans="2:32" ht="13.5" customHeight="1">
      <c r="B55" t="s">
        <v>99</v>
      </c>
      <c r="C55" s="29"/>
      <c r="D55" s="29"/>
      <c r="E55" s="29"/>
      <c r="F55" s="29"/>
      <c r="G55" s="35"/>
      <c r="H55" s="107">
        <f>+H52</f>
        <v>-159714518.81999999</v>
      </c>
      <c r="I55" s="107"/>
      <c r="J55" s="107"/>
      <c r="K55" s="107">
        <f>+K52</f>
        <v>-29927199.490000006</v>
      </c>
      <c r="L55" s="107"/>
      <c r="M55" s="22"/>
      <c r="N55" s="107">
        <f>+N52</f>
        <v>-189641718.31</v>
      </c>
      <c r="O55" s="18"/>
      <c r="P55" s="43"/>
      <c r="S55" s="57"/>
      <c r="T55" s="61"/>
      <c r="U55" s="61"/>
      <c r="V55" s="40"/>
      <c r="W55" s="40"/>
      <c r="X55" s="45"/>
      <c r="AC55" s="18"/>
    </row>
    <row r="56" spans="2:32" ht="13.5" customHeight="1">
      <c r="B56" s="29" t="s">
        <v>43</v>
      </c>
      <c r="C56" s="29"/>
      <c r="D56" s="29"/>
      <c r="E56" s="29"/>
      <c r="F56" s="29"/>
      <c r="G56" s="35"/>
      <c r="H56" s="105">
        <f>+H54+H55</f>
        <v>217707481.18000001</v>
      </c>
      <c r="I56" s="34"/>
      <c r="J56" s="34"/>
      <c r="K56" s="105">
        <f>+K54+K55</f>
        <v>101444800.50999999</v>
      </c>
      <c r="L56" s="34"/>
      <c r="M56" s="34"/>
      <c r="N56" s="105">
        <f>+N54+N55:N55</f>
        <v>319152281.69</v>
      </c>
      <c r="O56" s="18"/>
      <c r="P56" s="43"/>
      <c r="S56" s="57"/>
      <c r="T56" s="61"/>
      <c r="U56" s="61"/>
      <c r="V56" s="40"/>
      <c r="W56" s="40"/>
      <c r="X56" s="45"/>
      <c r="AC56" s="18"/>
    </row>
    <row r="57" spans="2:32" ht="13.5" customHeight="1">
      <c r="B57" s="26" t="s">
        <v>42</v>
      </c>
      <c r="C57" s="26"/>
      <c r="E57" s="29"/>
      <c r="F57" s="29"/>
      <c r="G57" s="35"/>
      <c r="H57" s="34"/>
      <c r="I57" s="34"/>
      <c r="J57" s="34"/>
      <c r="K57" s="34"/>
      <c r="L57" s="34"/>
      <c r="M57" s="34"/>
      <c r="N57" s="34"/>
      <c r="P57" s="20"/>
      <c r="S57" s="57"/>
      <c r="T57" s="61"/>
      <c r="U57" s="61"/>
      <c r="V57" s="40"/>
      <c r="W57" s="40"/>
      <c r="X57" s="45"/>
      <c r="AC57" s="18"/>
    </row>
    <row r="58" spans="2:32" ht="13.5" customHeight="1">
      <c r="B58" s="26" t="s">
        <v>73</v>
      </c>
      <c r="C58" s="26"/>
      <c r="E58" s="29"/>
      <c r="F58" s="29"/>
      <c r="G58" s="35"/>
      <c r="H58" s="34"/>
      <c r="I58" s="34"/>
      <c r="J58" s="34"/>
      <c r="K58" s="34"/>
      <c r="L58" s="34"/>
      <c r="M58" s="34"/>
      <c r="N58" s="34"/>
      <c r="P58" s="108"/>
      <c r="S58" s="57"/>
      <c r="T58" s="61"/>
      <c r="U58" s="61"/>
      <c r="V58" s="40"/>
      <c r="W58" s="40"/>
      <c r="X58" s="45"/>
      <c r="AC58" s="18"/>
    </row>
    <row r="59" spans="2:32" ht="13.5" customHeight="1">
      <c r="B59" s="26"/>
      <c r="C59" s="26" t="s">
        <v>102</v>
      </c>
      <c r="E59" s="29"/>
      <c r="F59" s="29"/>
      <c r="G59" s="35"/>
      <c r="H59" s="34"/>
      <c r="I59" s="34"/>
      <c r="J59" s="34"/>
      <c r="K59" s="34"/>
      <c r="L59" s="34"/>
      <c r="M59" s="34"/>
      <c r="N59" s="34"/>
      <c r="S59" s="57"/>
      <c r="T59" s="61"/>
      <c r="U59" s="61"/>
      <c r="V59" s="40"/>
      <c r="W59" s="40"/>
      <c r="X59" s="45"/>
      <c r="AC59" s="18"/>
    </row>
    <row r="60" spans="2:32" ht="15" customHeight="1">
      <c r="B60" s="26"/>
      <c r="C60" s="26"/>
      <c r="F60" t="s">
        <v>44</v>
      </c>
      <c r="H60" s="20"/>
      <c r="I60" s="20"/>
      <c r="J60" s="20"/>
      <c r="K60" s="20"/>
      <c r="L60" t="s">
        <v>47</v>
      </c>
      <c r="M60" s="20"/>
      <c r="N60" s="20"/>
      <c r="O60" s="43"/>
      <c r="S60" s="56"/>
      <c r="T60" s="60"/>
      <c r="U60" s="61"/>
      <c r="V60" s="40"/>
      <c r="W60" s="63"/>
      <c r="X60" s="45"/>
    </row>
    <row r="61" spans="2:32" ht="15" customHeight="1">
      <c r="B61" s="26"/>
      <c r="C61" s="26"/>
      <c r="D61" s="26"/>
      <c r="H61" s="20"/>
      <c r="I61" s="20"/>
      <c r="J61" s="20"/>
      <c r="K61" s="20"/>
      <c r="M61" s="20"/>
      <c r="N61" s="20"/>
      <c r="O61" s="43"/>
      <c r="S61" s="56"/>
      <c r="T61" s="61"/>
      <c r="U61" s="61"/>
      <c r="V61" s="40"/>
      <c r="W61" s="40"/>
      <c r="X61" s="45"/>
    </row>
    <row r="62" spans="2:32" ht="15" customHeight="1">
      <c r="B62" s="16"/>
      <c r="C62" s="16"/>
      <c r="D62" s="16"/>
      <c r="E62" s="16"/>
      <c r="F62" s="38" t="s">
        <v>49</v>
      </c>
      <c r="L62" s="38" t="s">
        <v>72</v>
      </c>
      <c r="N62" s="22"/>
      <c r="O62" s="18"/>
      <c r="P62" s="18"/>
      <c r="S62" s="56"/>
      <c r="T62" s="60"/>
      <c r="U62" s="61"/>
      <c r="V62" s="62"/>
      <c r="W62" s="61"/>
      <c r="X62" s="45"/>
    </row>
    <row r="63" spans="2:32" ht="15" customHeight="1">
      <c r="B63" s="28"/>
      <c r="C63" s="28"/>
      <c r="D63" s="16"/>
      <c r="E63" s="16"/>
      <c r="F63" t="s">
        <v>46</v>
      </c>
      <c r="L63" t="s">
        <v>71</v>
      </c>
      <c r="N63" s="51"/>
      <c r="S63" s="57"/>
      <c r="T63" s="61"/>
      <c r="U63" s="61"/>
      <c r="V63" s="40"/>
      <c r="W63" s="40"/>
      <c r="X63" s="45"/>
    </row>
    <row r="64" spans="2:32">
      <c r="F64" t="s">
        <v>45</v>
      </c>
      <c r="L64" t="s">
        <v>48</v>
      </c>
      <c r="N64" s="22"/>
      <c r="S64" s="57"/>
      <c r="T64" s="61"/>
      <c r="U64" s="61"/>
      <c r="V64" s="40"/>
      <c r="W64" s="40"/>
      <c r="X64" s="16"/>
    </row>
    <row r="65" spans="12:29">
      <c r="L65" t="s">
        <v>45</v>
      </c>
      <c r="N65" s="22"/>
      <c r="S65" s="57"/>
      <c r="T65" s="57"/>
      <c r="U65" s="57"/>
      <c r="V65" s="40"/>
      <c r="W65" s="50"/>
    </row>
    <row r="66" spans="12:29">
      <c r="S66" s="56"/>
      <c r="T66" s="56"/>
      <c r="U66" s="57"/>
      <c r="V66" s="62"/>
      <c r="W66" s="57"/>
    </row>
    <row r="67" spans="12:29">
      <c r="M67" s="22"/>
      <c r="N67" s="59"/>
      <c r="S67" s="26"/>
    </row>
    <row r="68" spans="12:29">
      <c r="M68" s="22"/>
      <c r="N68" s="22"/>
    </row>
    <row r="69" spans="12:29">
      <c r="M69" s="22"/>
      <c r="N69" s="22"/>
      <c r="T69" s="39" t="s">
        <v>78</v>
      </c>
      <c r="U69" s="39"/>
      <c r="X69" s="19"/>
      <c r="Y69" s="18"/>
    </row>
    <row r="70" spans="12:29">
      <c r="M70" s="22"/>
      <c r="N70" s="22"/>
      <c r="T70" s="54" t="s">
        <v>64</v>
      </c>
      <c r="U70" s="54"/>
      <c r="V70" s="45"/>
      <c r="W70" s="45"/>
      <c r="X70" s="55"/>
    </row>
    <row r="71" spans="12:29">
      <c r="M71" s="22"/>
      <c r="N71" s="22"/>
      <c r="T71" s="56" t="s">
        <v>131</v>
      </c>
      <c r="U71" s="57"/>
      <c r="V71" s="57"/>
      <c r="W71" s="57"/>
      <c r="X71" s="58"/>
      <c r="Y71" s="18"/>
    </row>
    <row r="72" spans="12:29">
      <c r="M72" s="22"/>
      <c r="N72" s="22"/>
      <c r="T72" s="56"/>
      <c r="U72" s="57"/>
      <c r="V72" s="57"/>
      <c r="W72" s="57"/>
      <c r="X72" s="58"/>
      <c r="Y72" s="91" t="s">
        <v>132</v>
      </c>
      <c r="AB72" s="95" t="s">
        <v>95</v>
      </c>
    </row>
    <row r="73" spans="12:29">
      <c r="M73" s="22"/>
      <c r="N73" s="22"/>
      <c r="S73" s="82" t="s">
        <v>82</v>
      </c>
      <c r="T73" s="83"/>
      <c r="U73" s="84"/>
      <c r="V73" s="103"/>
      <c r="W73" s="84"/>
      <c r="X73" s="85"/>
      <c r="Y73" s="86" t="s">
        <v>107</v>
      </c>
      <c r="AB73" s="112" t="s">
        <v>134</v>
      </c>
    </row>
    <row r="74" spans="12:29">
      <c r="M74" s="22"/>
      <c r="N74" s="22"/>
      <c r="S74" s="89" t="s">
        <v>83</v>
      </c>
      <c r="T74" s="60" t="s">
        <v>80</v>
      </c>
      <c r="U74" s="61" t="s">
        <v>4</v>
      </c>
      <c r="V74" s="40">
        <v>22099</v>
      </c>
      <c r="W74" s="40"/>
      <c r="X74" s="69"/>
      <c r="Y74" s="79"/>
      <c r="AB74" s="96"/>
    </row>
    <row r="75" spans="12:29">
      <c r="M75" s="22"/>
      <c r="N75" s="22"/>
      <c r="S75" s="72"/>
      <c r="T75" s="61"/>
      <c r="U75" s="61" t="s">
        <v>5</v>
      </c>
      <c r="V75" s="40">
        <v>31287</v>
      </c>
      <c r="W75" s="40"/>
      <c r="X75" s="69"/>
      <c r="Y75" s="79"/>
      <c r="AB75" s="96"/>
    </row>
    <row r="76" spans="12:29">
      <c r="M76" s="22"/>
      <c r="N76" s="22"/>
      <c r="S76" s="72"/>
      <c r="T76" s="61"/>
      <c r="U76" s="61" t="s">
        <v>7</v>
      </c>
      <c r="V76" s="48">
        <v>33901</v>
      </c>
      <c r="W76" s="40">
        <f>SUM(V74:V76)</f>
        <v>87287</v>
      </c>
      <c r="X76" s="69"/>
      <c r="Y76" s="80">
        <f>+W76</f>
        <v>87287</v>
      </c>
      <c r="Z76" s="18"/>
      <c r="AB76" s="96"/>
    </row>
    <row r="77" spans="12:29">
      <c r="M77" s="22"/>
      <c r="N77" s="22"/>
      <c r="S77" s="72"/>
      <c r="T77" s="60" t="s">
        <v>116</v>
      </c>
      <c r="U77" s="61" t="s">
        <v>5</v>
      </c>
      <c r="V77" s="40"/>
      <c r="W77" s="40">
        <v>15274</v>
      </c>
      <c r="X77" s="69"/>
      <c r="Y77" s="80">
        <f>+W77</f>
        <v>15274</v>
      </c>
      <c r="Z77" s="18"/>
      <c r="AB77" s="96"/>
    </row>
    <row r="78" spans="12:29">
      <c r="M78" s="22"/>
      <c r="N78" s="22"/>
      <c r="P78" s="43"/>
      <c r="S78" s="70" t="s">
        <v>81</v>
      </c>
      <c r="T78" s="60"/>
      <c r="U78" s="61"/>
      <c r="V78" s="40"/>
      <c r="W78" s="40"/>
      <c r="X78" s="73"/>
      <c r="Y78" s="80"/>
      <c r="Z78" s="18"/>
      <c r="AB78" s="96"/>
    </row>
    <row r="79" spans="12:29">
      <c r="M79" s="22"/>
      <c r="N79" s="22"/>
      <c r="P79" s="43"/>
      <c r="S79" s="72"/>
      <c r="T79" s="60" t="s">
        <v>89</v>
      </c>
      <c r="U79" s="61" t="s">
        <v>4</v>
      </c>
      <c r="V79" s="40">
        <v>1682</v>
      </c>
      <c r="W79" s="40"/>
      <c r="X79" s="73"/>
      <c r="Y79" s="80">
        <v>0</v>
      </c>
      <c r="Z79" s="93"/>
      <c r="AA79" s="94"/>
      <c r="AB79" s="110">
        <f>85598+670162</f>
        <v>755760</v>
      </c>
      <c r="AC79" s="88" t="s">
        <v>98</v>
      </c>
    </row>
    <row r="80" spans="12:29">
      <c r="M80" s="22"/>
      <c r="N80" s="22"/>
      <c r="P80" s="43"/>
      <c r="S80" s="72"/>
      <c r="T80" s="60" t="s">
        <v>90</v>
      </c>
      <c r="U80" s="61" t="s">
        <v>5</v>
      </c>
      <c r="V80" s="48">
        <v>0</v>
      </c>
      <c r="W80" s="40">
        <f>+V79+V80</f>
        <v>1682</v>
      </c>
      <c r="X80" s="73"/>
      <c r="Y80" s="80">
        <v>0</v>
      </c>
      <c r="AB80" s="96"/>
    </row>
    <row r="81" spans="13:29">
      <c r="M81" s="22"/>
      <c r="N81" s="22"/>
      <c r="P81" s="43"/>
      <c r="S81" s="60" t="s">
        <v>91</v>
      </c>
      <c r="T81" s="60"/>
      <c r="U81" s="61" t="s">
        <v>4</v>
      </c>
      <c r="V81" s="40"/>
      <c r="W81" s="48">
        <v>2026</v>
      </c>
      <c r="X81" s="71">
        <f>SUM(W76:W81)</f>
        <v>106269</v>
      </c>
      <c r="Y81" s="80">
        <f>+W81</f>
        <v>2026</v>
      </c>
      <c r="Z81" s="88" t="s">
        <v>63</v>
      </c>
      <c r="AB81" s="96"/>
    </row>
    <row r="82" spans="13:29">
      <c r="M82" s="51"/>
      <c r="N82" s="34"/>
      <c r="S82" s="90" t="s">
        <v>84</v>
      </c>
      <c r="T82" s="60"/>
      <c r="U82" s="61"/>
      <c r="V82" s="40"/>
      <c r="W82" s="40"/>
      <c r="X82" s="69"/>
      <c r="Y82" s="79"/>
      <c r="AB82" s="96"/>
    </row>
    <row r="83" spans="13:29">
      <c r="M83" s="51"/>
      <c r="N83" s="34"/>
      <c r="S83" s="87"/>
      <c r="T83" s="60" t="s">
        <v>93</v>
      </c>
      <c r="U83" s="61" t="s">
        <v>4</v>
      </c>
      <c r="V83" s="40"/>
      <c r="W83" s="40">
        <v>0</v>
      </c>
      <c r="X83" s="73"/>
      <c r="Y83" s="80">
        <f>+W83</f>
        <v>0</v>
      </c>
      <c r="AB83" s="96"/>
    </row>
    <row r="84" spans="13:29">
      <c r="M84" s="22"/>
      <c r="N84" s="107"/>
      <c r="S84" s="87"/>
      <c r="T84" s="60" t="s">
        <v>92</v>
      </c>
      <c r="U84" s="61" t="s">
        <v>4</v>
      </c>
      <c r="V84" s="40">
        <v>0</v>
      </c>
      <c r="W84" s="40"/>
      <c r="X84" s="69"/>
      <c r="Y84" s="80">
        <v>0</v>
      </c>
      <c r="AB84" s="96"/>
    </row>
    <row r="85" spans="13:29">
      <c r="M85" s="34"/>
      <c r="N85" s="34"/>
      <c r="S85" s="87"/>
      <c r="T85" s="60"/>
      <c r="U85" s="61" t="s">
        <v>5</v>
      </c>
      <c r="V85" s="48">
        <v>8588</v>
      </c>
      <c r="W85" s="40">
        <f>SUM(V84:V85)</f>
        <v>8588</v>
      </c>
      <c r="X85" s="69"/>
      <c r="Y85" s="80">
        <f>+W85</f>
        <v>8588</v>
      </c>
      <c r="AB85" s="96"/>
    </row>
    <row r="86" spans="13:29">
      <c r="S86" s="87"/>
      <c r="T86" s="60" t="s">
        <v>85</v>
      </c>
      <c r="U86" s="61"/>
      <c r="V86" s="40"/>
      <c r="W86" s="40"/>
      <c r="X86" s="69"/>
      <c r="Y86" s="79"/>
      <c r="AB86" s="96"/>
    </row>
    <row r="87" spans="13:29">
      <c r="S87" s="87"/>
      <c r="T87" s="60"/>
      <c r="U87" s="61" t="s">
        <v>4</v>
      </c>
      <c r="V87" s="40">
        <v>0</v>
      </c>
      <c r="W87" s="63"/>
      <c r="X87" s="69"/>
      <c r="Y87" s="79"/>
      <c r="AB87" s="96"/>
    </row>
    <row r="88" spans="13:29">
      <c r="S88" s="87"/>
      <c r="T88" s="60"/>
      <c r="U88" s="61" t="s">
        <v>5</v>
      </c>
      <c r="V88" s="40">
        <v>0</v>
      </c>
      <c r="W88" s="40"/>
      <c r="X88" s="69"/>
      <c r="Y88" s="80"/>
      <c r="AB88" s="96"/>
    </row>
    <row r="89" spans="13:29">
      <c r="S89" s="87"/>
      <c r="T89" s="60"/>
      <c r="U89" s="61" t="s">
        <v>7</v>
      </c>
      <c r="V89" s="48">
        <v>9030</v>
      </c>
      <c r="W89" s="48">
        <f>SUM(V87:V89)</f>
        <v>9030</v>
      </c>
      <c r="X89" s="74">
        <f>SUM(W83:W89)</f>
        <v>17618</v>
      </c>
      <c r="Y89" s="80">
        <f>+W89</f>
        <v>9030</v>
      </c>
      <c r="AB89" s="96"/>
    </row>
    <row r="90" spans="13:29">
      <c r="S90" s="87"/>
      <c r="T90" s="60" t="s">
        <v>86</v>
      </c>
      <c r="U90" s="60"/>
      <c r="V90" s="63"/>
      <c r="W90" s="63"/>
      <c r="X90" s="73">
        <f>SUM(X81:X89)</f>
        <v>123887</v>
      </c>
      <c r="Y90" s="79"/>
      <c r="AB90" s="96"/>
    </row>
    <row r="91" spans="13:29">
      <c r="S91" s="90" t="s">
        <v>87</v>
      </c>
      <c r="T91" s="61"/>
      <c r="U91" s="61" t="s">
        <v>4</v>
      </c>
      <c r="V91" s="40"/>
      <c r="W91" s="40">
        <v>2455</v>
      </c>
      <c r="X91" s="69"/>
      <c r="Y91" s="79"/>
      <c r="AB91" s="96"/>
    </row>
    <row r="92" spans="13:29">
      <c r="S92" s="87"/>
      <c r="T92" s="61"/>
      <c r="U92" s="61" t="s">
        <v>5</v>
      </c>
      <c r="V92" s="40"/>
      <c r="W92" s="40">
        <v>2895</v>
      </c>
      <c r="X92" s="69"/>
      <c r="Y92" s="79"/>
      <c r="AB92" s="96"/>
    </row>
    <row r="93" spans="13:29">
      <c r="S93" s="87"/>
      <c r="T93" s="61"/>
      <c r="U93" s="61" t="s">
        <v>7</v>
      </c>
      <c r="V93" s="40"/>
      <c r="W93" s="48">
        <v>2135</v>
      </c>
      <c r="X93" s="74">
        <f>SUM(W91:W93)</f>
        <v>7485</v>
      </c>
      <c r="Y93" s="104"/>
      <c r="AB93" s="98"/>
    </row>
    <row r="94" spans="13:29">
      <c r="S94" s="90" t="s">
        <v>88</v>
      </c>
      <c r="T94" s="60"/>
      <c r="U94" s="61"/>
      <c r="V94" s="62"/>
      <c r="W94" s="68"/>
      <c r="X94" s="73">
        <f>+X90+X93</f>
        <v>131372</v>
      </c>
      <c r="Y94" s="80">
        <f>SUM(Y76:Y89)</f>
        <v>122205</v>
      </c>
      <c r="Z94" s="88" t="s">
        <v>133</v>
      </c>
      <c r="AB94" s="111">
        <f>SUM(AB76:AB93)</f>
        <v>755760</v>
      </c>
      <c r="AC94" s="88" t="s">
        <v>133</v>
      </c>
    </row>
    <row r="95" spans="13:29">
      <c r="S95" s="75"/>
      <c r="T95" s="76"/>
      <c r="U95" s="76"/>
      <c r="V95" s="76"/>
      <c r="W95" s="77"/>
      <c r="X95" s="78"/>
      <c r="Y95" s="81"/>
      <c r="AB95" s="98"/>
    </row>
    <row r="96" spans="13:29">
      <c r="AB96" s="43">
        <f>+(Y94*1000)+AB94</f>
        <v>122960760</v>
      </c>
      <c r="AC96" t="s">
        <v>135</v>
      </c>
    </row>
    <row r="97" spans="24:28">
      <c r="X97" s="18"/>
      <c r="Y97" s="18"/>
      <c r="AB97" s="18"/>
    </row>
    <row r="98" spans="24:28">
      <c r="X98" s="18"/>
    </row>
    <row r="99" spans="24:28">
      <c r="X99" s="18"/>
    </row>
  </sheetData>
  <mergeCells count="12">
    <mergeCell ref="W34:Y34"/>
    <mergeCell ref="Z34:AA34"/>
    <mergeCell ref="A13:F13"/>
    <mergeCell ref="L13:P13"/>
    <mergeCell ref="Q13:U13"/>
    <mergeCell ref="A15:F15"/>
    <mergeCell ref="AB12:AF12"/>
    <mergeCell ref="A2:R2"/>
    <mergeCell ref="A3:R3"/>
    <mergeCell ref="G12:K12"/>
    <mergeCell ref="L12:V12"/>
    <mergeCell ref="X12:AA12"/>
  </mergeCells>
  <printOptions horizontalCentered="1"/>
  <pageMargins left="0" right="0" top="0.18" bottom="0" header="0.17" footer="0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2"/>
  <sheetViews>
    <sheetView workbookViewId="0">
      <selection activeCell="N4" sqref="N4"/>
    </sheetView>
  </sheetViews>
  <sheetFormatPr defaultRowHeight="15"/>
  <cols>
    <col min="1" max="1" width="1.28515625" customWidth="1"/>
    <col min="2" max="3" width="5.140625" customWidth="1"/>
    <col min="4" max="4" width="39.85546875" customWidth="1"/>
    <col min="5" max="5" width="1.28515625" customWidth="1"/>
    <col min="6" max="6" width="8.42578125" customWidth="1"/>
    <col min="7" max="7" width="12.85546875" customWidth="1"/>
    <col min="8" max="8" width="13.5703125" customWidth="1"/>
    <col min="9" max="9" width="19.28515625" customWidth="1"/>
    <col min="10" max="10" width="12.5703125" customWidth="1"/>
    <col min="11" max="11" width="12.7109375" customWidth="1"/>
    <col min="12" max="12" width="12" customWidth="1"/>
    <col min="13" max="13" width="13.140625" customWidth="1"/>
    <col min="14" max="14" width="13.85546875" customWidth="1"/>
    <col min="15" max="15" width="14.7109375" customWidth="1"/>
    <col min="16" max="16" width="12.85546875" customWidth="1"/>
    <col min="17" max="17" width="9.140625" customWidth="1"/>
    <col min="18" max="18" width="12.140625" customWidth="1"/>
    <col min="19" max="19" width="9.140625" customWidth="1"/>
    <col min="20" max="20" width="14" customWidth="1"/>
    <col min="21" max="23" width="12" customWidth="1"/>
    <col min="24" max="24" width="12.5703125" customWidth="1"/>
    <col min="25" max="25" width="10.7109375" customWidth="1"/>
    <col min="26" max="26" width="10" customWidth="1"/>
    <col min="27" max="27" width="11.28515625" customWidth="1"/>
    <col min="28" max="28" width="14.42578125" customWidth="1"/>
    <col min="29" max="29" width="13.5703125" customWidth="1"/>
    <col min="30" max="30" width="8.140625" customWidth="1"/>
    <col min="31" max="32" width="12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75" t="s">
        <v>143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42">
        <f>5695925.63+670161.02</f>
        <v>6366086.6500000004</v>
      </c>
      <c r="H18" s="42">
        <v>1493966.92</v>
      </c>
      <c r="I18" s="32"/>
      <c r="J18" s="32">
        <v>0</v>
      </c>
      <c r="K18" s="32">
        <f>SUM(G18:J18)</f>
        <v>7860053.5700000003</v>
      </c>
      <c r="L18" s="42">
        <v>0</v>
      </c>
      <c r="M18" s="42">
        <v>111441.96</v>
      </c>
      <c r="N18" s="42">
        <v>0</v>
      </c>
      <c r="O18" s="42">
        <v>0</v>
      </c>
      <c r="P18" s="32">
        <f>SUM(L18:O18)</f>
        <v>111441.96</v>
      </c>
      <c r="Q18" s="32">
        <v>0</v>
      </c>
      <c r="R18" s="32">
        <v>89775</v>
      </c>
      <c r="S18" s="32">
        <v>0</v>
      </c>
      <c r="T18" s="32">
        <v>0</v>
      </c>
      <c r="U18" s="32">
        <f>SUM(Q18:T18)</f>
        <v>89775</v>
      </c>
      <c r="V18" s="32">
        <f>+P18+U18</f>
        <v>201216.96000000002</v>
      </c>
      <c r="W18" s="32">
        <f>+K18+V18</f>
        <v>8061270.5300000003</v>
      </c>
      <c r="X18" s="32"/>
      <c r="Y18" s="32"/>
      <c r="Z18" s="32"/>
      <c r="AA18" s="32">
        <f>SUM(X18:Z18)</f>
        <v>0</v>
      </c>
      <c r="AB18" s="32">
        <f>+G18+L18+Q18+X18</f>
        <v>6366086.6500000004</v>
      </c>
      <c r="AC18" s="42">
        <f>+H18+M18+R18+Y18</f>
        <v>1695183.88</v>
      </c>
      <c r="AD18" s="32">
        <f>+I18+N18+S18</f>
        <v>0</v>
      </c>
      <c r="AE18" s="32">
        <f>+J18+O18+T18+Z18</f>
        <v>0</v>
      </c>
      <c r="AF18" s="32">
        <f>SUM(AB18:AE18)</f>
        <v>8061270.5300000003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30174831.920000002</v>
      </c>
      <c r="H19" s="32">
        <v>15069193.890000001</v>
      </c>
      <c r="I19" s="32"/>
      <c r="J19" s="32">
        <v>0</v>
      </c>
      <c r="K19" s="32">
        <f t="shared" ref="K19:K29" si="0">SUM(G19:J19)</f>
        <v>45244025.810000002</v>
      </c>
      <c r="L19" s="32">
        <v>59516.82</v>
      </c>
      <c r="M19" s="32">
        <v>5658979.04</v>
      </c>
      <c r="N19" s="32">
        <v>0</v>
      </c>
      <c r="O19" s="32">
        <v>28332940.149999999</v>
      </c>
      <c r="P19" s="32">
        <f t="shared" ref="P19:P29" si="1">SUM(L19:O19)</f>
        <v>34051436.009999998</v>
      </c>
      <c r="Q19" s="32">
        <v>0</v>
      </c>
      <c r="R19" s="32">
        <v>1128078.96</v>
      </c>
      <c r="S19" s="32">
        <v>0</v>
      </c>
      <c r="T19" s="32">
        <v>2042782.62</v>
      </c>
      <c r="U19" s="32">
        <f t="shared" ref="U19:U29" si="2">SUM(Q19:T19)</f>
        <v>3170861.58</v>
      </c>
      <c r="V19" s="32">
        <f t="shared" ref="V19:V29" si="3">+P19+U19</f>
        <v>37222297.589999996</v>
      </c>
      <c r="W19" s="32">
        <f t="shared" ref="W19:W29" si="4">+K19+V19</f>
        <v>82466323.400000006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30234348.740000002</v>
      </c>
      <c r="AC19" s="32">
        <f t="shared" si="6"/>
        <v>21856251.890000001</v>
      </c>
      <c r="AD19" s="32">
        <f t="shared" ref="AD19:AD29" si="7">+I19+N19+S19</f>
        <v>0</v>
      </c>
      <c r="AE19" s="32">
        <f t="shared" ref="AE19:AE29" si="8">+J19+O19+T19+Z19</f>
        <v>30375722.77</v>
      </c>
      <c r="AF19" s="32">
        <f t="shared" ref="AF19:AF29" si="9">SUM(AB19:AE19)</f>
        <v>82466323.400000006</v>
      </c>
      <c r="AG19" s="10"/>
      <c r="AH19" s="18">
        <f t="shared" ref="AH19:AH29" si="10">+W19+AA19-AF19</f>
        <v>0</v>
      </c>
      <c r="AJ19" s="66">
        <f>+AF18+AF19</f>
        <v>90527593.930000007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3444210.67</v>
      </c>
      <c r="H23" s="42">
        <v>667981.21</v>
      </c>
      <c r="I23" s="42">
        <v>0</v>
      </c>
      <c r="J23" s="42">
        <v>4242.8500000000004</v>
      </c>
      <c r="K23" s="42">
        <f t="shared" si="0"/>
        <v>4116434.73</v>
      </c>
      <c r="L23" s="42">
        <v>0</v>
      </c>
      <c r="M23" s="42">
        <v>907999.43</v>
      </c>
      <c r="N23" s="42">
        <v>0</v>
      </c>
      <c r="O23" s="42">
        <v>1421642.81</v>
      </c>
      <c r="P23" s="42">
        <f t="shared" si="1"/>
        <v>2329642.2400000002</v>
      </c>
      <c r="Q23" s="42">
        <v>0</v>
      </c>
      <c r="R23" s="42">
        <v>17292.43</v>
      </c>
      <c r="S23" s="42">
        <v>0</v>
      </c>
      <c r="T23" s="42">
        <v>116235.51</v>
      </c>
      <c r="U23" s="42">
        <f t="shared" si="2"/>
        <v>133527.94</v>
      </c>
      <c r="V23" s="42">
        <f t="shared" si="3"/>
        <v>2463170.1800000002</v>
      </c>
      <c r="W23" s="42">
        <f t="shared" si="4"/>
        <v>6579604.9100000001</v>
      </c>
      <c r="X23" s="42"/>
      <c r="Y23" s="42"/>
      <c r="Z23" s="42"/>
      <c r="AA23" s="42">
        <f t="shared" si="5"/>
        <v>0</v>
      </c>
      <c r="AB23" s="42">
        <f t="shared" si="6"/>
        <v>3444210.67</v>
      </c>
      <c r="AC23" s="42">
        <f t="shared" si="6"/>
        <v>1593273.07</v>
      </c>
      <c r="AD23" s="42">
        <f t="shared" si="7"/>
        <v>0</v>
      </c>
      <c r="AE23" s="42">
        <f t="shared" si="8"/>
        <v>1542121.1700000002</v>
      </c>
      <c r="AF23" s="42">
        <f t="shared" si="9"/>
        <v>6579604.9100000001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90527593.930000007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39985129.240000002</v>
      </c>
      <c r="H31" s="33">
        <f t="shared" ref="H31:AH31" si="11">SUM(H18:H29)</f>
        <v>17231142.02</v>
      </c>
      <c r="I31" s="33">
        <f t="shared" si="11"/>
        <v>0</v>
      </c>
      <c r="J31" s="33">
        <f t="shared" si="11"/>
        <v>4242.8500000000004</v>
      </c>
      <c r="K31" s="33">
        <f t="shared" si="11"/>
        <v>57220514.109999999</v>
      </c>
      <c r="L31" s="33">
        <f t="shared" si="11"/>
        <v>59516.82</v>
      </c>
      <c r="M31" s="33">
        <f t="shared" si="11"/>
        <v>6678420.4299999997</v>
      </c>
      <c r="N31" s="33">
        <f t="shared" si="11"/>
        <v>0</v>
      </c>
      <c r="O31" s="33">
        <f t="shared" si="11"/>
        <v>29754582.959999997</v>
      </c>
      <c r="P31" s="33">
        <f t="shared" si="11"/>
        <v>36492520.210000001</v>
      </c>
      <c r="Q31" s="33">
        <f t="shared" si="11"/>
        <v>0</v>
      </c>
      <c r="R31" s="33">
        <f t="shared" si="11"/>
        <v>1235146.3899999999</v>
      </c>
      <c r="S31" s="33">
        <f t="shared" si="11"/>
        <v>0</v>
      </c>
      <c r="T31" s="33">
        <f t="shared" si="11"/>
        <v>2159018.13</v>
      </c>
      <c r="U31" s="33">
        <f t="shared" si="11"/>
        <v>3394164.52</v>
      </c>
      <c r="V31" s="33">
        <f t="shared" si="11"/>
        <v>39886684.729999997</v>
      </c>
      <c r="W31" s="33">
        <f t="shared" si="11"/>
        <v>97107198.840000004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40044646.060000002</v>
      </c>
      <c r="AC31" s="33">
        <f t="shared" si="11"/>
        <v>25144708.84</v>
      </c>
      <c r="AD31" s="33">
        <f t="shared" si="11"/>
        <v>0</v>
      </c>
      <c r="AE31" s="33">
        <f t="shared" si="11"/>
        <v>31917843.940000001</v>
      </c>
      <c r="AF31" s="33">
        <f t="shared" si="11"/>
        <v>97107198.840000004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24.75" customHeight="1"/>
    <row r="34" spans="1:34" ht="10.5" customHeight="1">
      <c r="A34" s="1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"/>
    </row>
    <row r="35" spans="1:34">
      <c r="A35" s="3"/>
      <c r="B35" s="28" t="s">
        <v>33</v>
      </c>
      <c r="C35" s="28"/>
      <c r="D35" s="16"/>
      <c r="E35" s="16"/>
      <c r="F35" s="16"/>
      <c r="G35" s="116" t="s">
        <v>144</v>
      </c>
      <c r="H35" s="116"/>
      <c r="I35" s="116"/>
      <c r="J35" s="16"/>
      <c r="K35" s="116" t="s">
        <v>145</v>
      </c>
      <c r="L35" s="116"/>
      <c r="M35" s="16"/>
      <c r="N35" s="114" t="s">
        <v>146</v>
      </c>
      <c r="T35" s="16"/>
      <c r="U35" s="16"/>
      <c r="V35" s="16"/>
      <c r="W35" s="176"/>
      <c r="X35" s="176"/>
      <c r="Y35" s="176"/>
      <c r="Z35" s="179"/>
      <c r="AA35" s="179"/>
      <c r="AB35" s="16"/>
      <c r="AC35" s="16"/>
      <c r="AE35" s="18"/>
    </row>
    <row r="36" spans="1:34" ht="18.75">
      <c r="A36" s="3"/>
      <c r="B36" s="16" t="s">
        <v>34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4"/>
      <c r="T36" s="16"/>
      <c r="U36" s="16"/>
      <c r="V36" s="16"/>
      <c r="W36" s="106"/>
      <c r="X36" s="22"/>
      <c r="Y36" s="22"/>
      <c r="Z36" s="22"/>
      <c r="AA36" s="22"/>
      <c r="AB36" s="22"/>
      <c r="AC36" s="22"/>
      <c r="AD36" s="43"/>
      <c r="AH36" s="18"/>
    </row>
    <row r="37" spans="1:34">
      <c r="A37" s="3"/>
      <c r="B37" s="16"/>
      <c r="C37" s="16"/>
      <c r="D37" s="16" t="s">
        <v>103</v>
      </c>
      <c r="E37" s="16"/>
      <c r="F37" s="16"/>
      <c r="G37" s="25"/>
      <c r="H37" s="22">
        <f>SUM(G38:G43)</f>
        <v>474874281</v>
      </c>
      <c r="I37" s="22"/>
      <c r="J37" s="22"/>
      <c r="K37" s="59">
        <f>SUM(J38:J43)</f>
        <v>130772000</v>
      </c>
      <c r="L37" s="22"/>
      <c r="M37" s="22"/>
      <c r="N37" s="120">
        <f>SUM(M38:M43)</f>
        <v>605646281</v>
      </c>
      <c r="O37" s="18"/>
      <c r="P37" s="43"/>
      <c r="T37" s="16"/>
      <c r="U37" s="16"/>
      <c r="V37" s="16"/>
      <c r="W37" s="25"/>
      <c r="X37" s="22"/>
      <c r="Y37" s="22"/>
      <c r="Z37" s="22"/>
      <c r="AA37" s="22"/>
      <c r="AB37" s="22"/>
      <c r="AC37" s="22"/>
      <c r="AD37" s="43"/>
    </row>
    <row r="38" spans="1:34">
      <c r="A38" s="3"/>
      <c r="B38" s="16"/>
      <c r="C38" s="16"/>
      <c r="D38" s="121" t="s">
        <v>97</v>
      </c>
      <c r="E38" s="16"/>
      <c r="F38" s="16"/>
      <c r="G38" s="22">
        <f>89000000+93488000+163160000+120179000</f>
        <v>465827000</v>
      </c>
      <c r="H38" s="22"/>
      <c r="I38" s="22"/>
      <c r="J38" s="40">
        <v>128747000</v>
      </c>
      <c r="K38" s="22"/>
      <c r="L38" s="22"/>
      <c r="M38" s="22">
        <f>89000000+93488000+163160000+120179000+128747000</f>
        <v>594574000</v>
      </c>
      <c r="N38" s="122"/>
      <c r="O38" s="18"/>
      <c r="P38" s="20"/>
      <c r="T38" s="16"/>
      <c r="U38" s="16"/>
      <c r="V38" s="16"/>
      <c r="W38" s="25"/>
      <c r="X38" s="51"/>
      <c r="Y38" s="51"/>
      <c r="Z38" s="51"/>
      <c r="AA38" s="51"/>
      <c r="AB38" s="51"/>
      <c r="AC38" s="51"/>
      <c r="AD38" s="19"/>
    </row>
    <row r="39" spans="1:34">
      <c r="A39" s="3"/>
      <c r="B39" s="16"/>
      <c r="C39" s="16"/>
      <c r="D39" s="121" t="s">
        <v>100</v>
      </c>
      <c r="E39" s="16"/>
      <c r="F39" s="16"/>
      <c r="G39" s="22">
        <f>2026000+2025000+2025000+2026000</f>
        <v>8102000</v>
      </c>
      <c r="H39" s="22"/>
      <c r="I39" s="22"/>
      <c r="J39" s="22">
        <v>2025000</v>
      </c>
      <c r="K39" s="22"/>
      <c r="L39" s="22"/>
      <c r="M39" s="22">
        <f>2026000+2025000+2025000+2026000+2025000</f>
        <v>10127000</v>
      </c>
      <c r="N39" s="122"/>
      <c r="O39" s="18"/>
      <c r="P39" s="22"/>
      <c r="T39" t="s">
        <v>44</v>
      </c>
      <c r="V39" s="20"/>
      <c r="W39" s="20"/>
      <c r="X39" s="20"/>
      <c r="Y39" s="20"/>
      <c r="Z39" t="s">
        <v>47</v>
      </c>
      <c r="AA39" s="20"/>
      <c r="AB39" s="51"/>
      <c r="AC39" s="51"/>
      <c r="AD39" s="19"/>
    </row>
    <row r="40" spans="1:34">
      <c r="A40" s="3"/>
      <c r="B40" s="16"/>
      <c r="C40" s="16"/>
      <c r="D40" s="16" t="s">
        <v>104</v>
      </c>
      <c r="E40" s="16"/>
      <c r="F40" s="16"/>
      <c r="G40" s="22"/>
      <c r="H40" s="22"/>
      <c r="I40" s="22"/>
      <c r="J40" s="22">
        <v>0</v>
      </c>
      <c r="K40" s="22"/>
      <c r="L40" s="22"/>
      <c r="M40" s="22"/>
      <c r="N40" s="122"/>
      <c r="P40" s="22"/>
      <c r="V40" s="20"/>
      <c r="W40" s="20"/>
      <c r="X40" s="20"/>
      <c r="Y40" s="20"/>
      <c r="AA40" s="20"/>
      <c r="AB40" s="31"/>
      <c r="AC40" s="51"/>
      <c r="AD40" s="19"/>
    </row>
    <row r="41" spans="1:34">
      <c r="A41" s="3"/>
      <c r="B41" s="16"/>
      <c r="C41" s="16"/>
      <c r="D41" s="121" t="s">
        <v>105</v>
      </c>
      <c r="E41" s="16"/>
      <c r="F41" s="16"/>
      <c r="G41" s="22">
        <f>94823+94698</f>
        <v>189521</v>
      </c>
      <c r="H41" s="22"/>
      <c r="I41" s="22"/>
      <c r="J41" s="22">
        <v>0</v>
      </c>
      <c r="K41" s="22"/>
      <c r="L41" s="22"/>
      <c r="M41" s="22">
        <f>94823+94698</f>
        <v>189521</v>
      </c>
      <c r="N41" s="122"/>
      <c r="P41" s="22"/>
      <c r="T41" s="38" t="s">
        <v>49</v>
      </c>
      <c r="Z41" s="38" t="s">
        <v>72</v>
      </c>
      <c r="AB41" s="31"/>
      <c r="AC41" s="51"/>
      <c r="AD41" s="19"/>
    </row>
    <row r="42" spans="1:34">
      <c r="A42" s="3"/>
      <c r="B42" s="16"/>
      <c r="C42" s="16"/>
      <c r="D42" s="121" t="s">
        <v>129</v>
      </c>
      <c r="E42" s="16"/>
      <c r="F42" s="16"/>
      <c r="G42" s="22">
        <v>85598</v>
      </c>
      <c r="H42" s="22"/>
      <c r="I42" s="22"/>
      <c r="J42" s="22">
        <v>0</v>
      </c>
      <c r="K42" s="22"/>
      <c r="L42" s="22"/>
      <c r="M42" s="22">
        <v>85598</v>
      </c>
      <c r="N42" s="122"/>
      <c r="P42" s="22"/>
      <c r="T42" t="s">
        <v>46</v>
      </c>
      <c r="Z42" t="s">
        <v>71</v>
      </c>
      <c r="AB42" s="31"/>
      <c r="AC42" s="51"/>
      <c r="AD42" s="19"/>
    </row>
    <row r="43" spans="1:34">
      <c r="A43" s="3"/>
      <c r="B43" s="16"/>
      <c r="C43" s="16"/>
      <c r="D43" s="121" t="s">
        <v>130</v>
      </c>
      <c r="E43" s="16"/>
      <c r="F43" s="16"/>
      <c r="G43" s="21">
        <v>670162</v>
      </c>
      <c r="H43" s="22"/>
      <c r="I43" s="22"/>
      <c r="J43" s="21">
        <v>0</v>
      </c>
      <c r="K43" s="22"/>
      <c r="L43" s="22"/>
      <c r="M43" s="21">
        <v>670162</v>
      </c>
      <c r="N43" s="122"/>
      <c r="P43" s="22"/>
      <c r="T43" t="s">
        <v>45</v>
      </c>
      <c r="Z43" t="s">
        <v>48</v>
      </c>
      <c r="AB43" s="31"/>
      <c r="AC43" s="51"/>
      <c r="AD43" s="19"/>
    </row>
    <row r="44" spans="1:34">
      <c r="A44" s="3"/>
      <c r="B44" s="16"/>
      <c r="C44" s="16"/>
      <c r="D44" s="16" t="s">
        <v>35</v>
      </c>
      <c r="E44" s="16"/>
      <c r="F44" s="16"/>
      <c r="G44" s="22"/>
      <c r="H44" s="22">
        <v>0</v>
      </c>
      <c r="I44" s="22"/>
      <c r="J44" s="22"/>
      <c r="K44" s="22">
        <v>0</v>
      </c>
      <c r="L44" s="22"/>
      <c r="M44" s="22"/>
      <c r="N44" s="122"/>
      <c r="P44" s="22"/>
      <c r="Z44" t="s">
        <v>45</v>
      </c>
      <c r="AB44" s="31"/>
      <c r="AC44" s="22"/>
      <c r="AD44" s="25"/>
      <c r="AE44" s="16"/>
      <c r="AF44" s="16"/>
    </row>
    <row r="45" spans="1:34">
      <c r="A45" s="3"/>
      <c r="B45" s="16"/>
      <c r="C45" s="16"/>
      <c r="D45" s="16" t="s">
        <v>36</v>
      </c>
      <c r="E45" s="16"/>
      <c r="F45" s="16"/>
      <c r="G45" s="25"/>
      <c r="H45" s="22">
        <v>21817245.73</v>
      </c>
      <c r="I45" s="22"/>
      <c r="J45" s="22"/>
      <c r="K45" s="59">
        <f>+AF23</f>
        <v>6579604.9100000001</v>
      </c>
      <c r="L45" s="22"/>
      <c r="M45" s="22"/>
      <c r="N45" s="122">
        <f>6514818+3759574.58+7395098.56+4147754.59+6579604.91</f>
        <v>28396850.640000001</v>
      </c>
      <c r="O45" s="18"/>
      <c r="P45" s="43"/>
      <c r="W45" s="19"/>
      <c r="X45" s="51"/>
      <c r="Y45" s="31"/>
      <c r="Z45" s="31"/>
      <c r="AA45" s="51"/>
      <c r="AB45" s="31"/>
      <c r="AC45" s="51"/>
      <c r="AD45" s="25"/>
      <c r="AE45" s="16"/>
      <c r="AF45" s="16"/>
    </row>
    <row r="46" spans="1:34">
      <c r="A46" s="3"/>
      <c r="B46" s="16"/>
      <c r="C46" s="16"/>
      <c r="D46" s="16" t="s">
        <v>37</v>
      </c>
      <c r="E46" s="16"/>
      <c r="F46" s="16"/>
      <c r="G46" s="25"/>
      <c r="H46" s="22">
        <v>0</v>
      </c>
      <c r="I46" s="22"/>
      <c r="J46" s="22"/>
      <c r="K46" s="22">
        <v>0</v>
      </c>
      <c r="L46" s="22"/>
      <c r="M46" s="22"/>
      <c r="N46" s="122"/>
      <c r="P46" s="43"/>
      <c r="W46" s="19"/>
      <c r="X46" s="22"/>
      <c r="Y46" s="20"/>
      <c r="Z46" s="20"/>
      <c r="AA46" s="20"/>
      <c r="AB46" s="20"/>
      <c r="AC46" s="22"/>
      <c r="AD46" s="25"/>
      <c r="AE46" s="16"/>
      <c r="AF46" s="16"/>
    </row>
    <row r="47" spans="1:34" ht="14.25" customHeight="1">
      <c r="A47" s="3"/>
      <c r="B47" s="16"/>
      <c r="C47" s="16"/>
      <c r="D47" s="16" t="s">
        <v>38</v>
      </c>
      <c r="E47" s="16"/>
      <c r="F47" s="16"/>
      <c r="G47" s="25"/>
      <c r="H47" s="22">
        <v>0</v>
      </c>
      <c r="I47" s="22"/>
      <c r="J47" s="22"/>
      <c r="K47" s="22">
        <v>0</v>
      </c>
      <c r="L47" s="22"/>
      <c r="M47" s="22"/>
      <c r="N47" s="122"/>
      <c r="P47" s="43"/>
      <c r="S47" s="39"/>
      <c r="T47" s="39"/>
      <c r="W47" s="19"/>
      <c r="X47" s="22"/>
      <c r="Y47" s="20"/>
      <c r="Z47" s="20"/>
      <c r="AA47" s="20"/>
      <c r="AB47" s="20"/>
      <c r="AC47" s="22"/>
      <c r="AD47" s="25"/>
      <c r="AE47" s="16"/>
      <c r="AF47" s="16"/>
    </row>
    <row r="48" spans="1:34" ht="13.5" customHeight="1">
      <c r="A48" s="3"/>
      <c r="B48" s="16"/>
      <c r="C48" s="16"/>
      <c r="D48" s="15" t="s">
        <v>39</v>
      </c>
      <c r="E48" s="16"/>
      <c r="F48" s="16"/>
      <c r="G48" s="25"/>
      <c r="H48" s="21">
        <v>0</v>
      </c>
      <c r="I48" s="22"/>
      <c r="J48" s="22"/>
      <c r="K48" s="21">
        <v>0</v>
      </c>
      <c r="L48" s="22"/>
      <c r="M48" s="22"/>
      <c r="N48" s="123"/>
      <c r="P48" s="43"/>
      <c r="S48" s="39"/>
      <c r="T48" s="39"/>
      <c r="W48" s="19"/>
      <c r="X48" s="22"/>
      <c r="Y48" s="20"/>
      <c r="Z48" s="20"/>
      <c r="AA48" s="20"/>
      <c r="AB48" s="20"/>
      <c r="AC48" s="22"/>
      <c r="AD48" s="25"/>
      <c r="AE48" s="16"/>
      <c r="AF48" s="16"/>
    </row>
    <row r="49" spans="1:32" ht="13.5" customHeight="1">
      <c r="A49" s="3"/>
      <c r="B49" s="16"/>
      <c r="C49" s="16"/>
      <c r="D49" s="16" t="s">
        <v>57</v>
      </c>
      <c r="E49" s="16"/>
      <c r="F49" s="16"/>
      <c r="G49" s="25"/>
      <c r="H49" s="22">
        <f>SUM(H37:H48)</f>
        <v>496691526.73000002</v>
      </c>
      <c r="I49" s="22"/>
      <c r="J49" s="22"/>
      <c r="K49" s="22">
        <f>SUM(K37:K48)</f>
        <v>137351604.91</v>
      </c>
      <c r="L49" s="22"/>
      <c r="M49" s="22"/>
      <c r="N49" s="122">
        <f>SUM(N37:N48)</f>
        <v>634043131.63999999</v>
      </c>
      <c r="O49" s="18"/>
      <c r="P49" s="43"/>
      <c r="S49" s="39"/>
      <c r="T49" s="65"/>
      <c r="U49" s="65"/>
      <c r="V49" s="16"/>
      <c r="W49" s="16"/>
      <c r="X49" s="25"/>
      <c r="Y49" s="20"/>
      <c r="Z49" s="20"/>
      <c r="AA49" s="20"/>
      <c r="AB49" s="20"/>
      <c r="AC49" s="22"/>
      <c r="AD49" s="25"/>
      <c r="AE49" s="16"/>
      <c r="AF49" s="16"/>
    </row>
    <row r="50" spans="1:32">
      <c r="A50" s="3"/>
      <c r="B50" s="16" t="s">
        <v>40</v>
      </c>
      <c r="C50" s="16"/>
      <c r="D50" s="16"/>
      <c r="E50" s="16"/>
      <c r="F50" s="16"/>
      <c r="G50" s="25"/>
      <c r="H50" s="21">
        <v>0</v>
      </c>
      <c r="I50" s="22"/>
      <c r="J50" s="22"/>
      <c r="K50" s="21">
        <v>0</v>
      </c>
      <c r="L50" s="22"/>
      <c r="M50" s="22"/>
      <c r="N50" s="123">
        <v>0</v>
      </c>
      <c r="P50" s="43"/>
      <c r="S50" s="54"/>
      <c r="T50" s="54"/>
      <c r="U50" s="54"/>
      <c r="V50" s="45"/>
      <c r="W50" s="45"/>
      <c r="X50" s="55"/>
      <c r="Y50" s="22"/>
      <c r="Z50" s="22"/>
      <c r="AA50" s="22"/>
      <c r="AB50" s="22"/>
      <c r="AC50" s="51"/>
      <c r="AD50" s="25"/>
      <c r="AE50" s="16"/>
      <c r="AF50" s="16"/>
    </row>
    <row r="51" spans="1:32" ht="15" customHeight="1">
      <c r="A51" s="3"/>
      <c r="B51" s="28" t="s">
        <v>41</v>
      </c>
      <c r="C51" s="28"/>
      <c r="D51" s="16"/>
      <c r="E51" s="16"/>
      <c r="F51" s="16"/>
      <c r="G51" s="25"/>
      <c r="H51" s="22">
        <f>+H49-H50</f>
        <v>496691526.73000002</v>
      </c>
      <c r="I51" s="22"/>
      <c r="J51" s="22"/>
      <c r="K51" s="22">
        <f>+K49-K50</f>
        <v>137351604.91</v>
      </c>
      <c r="L51" s="22"/>
      <c r="M51" s="22"/>
      <c r="N51" s="122">
        <f>+N49-N50</f>
        <v>634043131.63999999</v>
      </c>
      <c r="O51" s="18"/>
      <c r="P51" s="43"/>
      <c r="S51" s="56"/>
      <c r="T51" s="60"/>
      <c r="U51" s="61"/>
      <c r="V51" s="61"/>
      <c r="W51" s="61"/>
      <c r="X51" s="55"/>
      <c r="Y51" s="20"/>
      <c r="Z51" s="20"/>
      <c r="AA51" s="20"/>
      <c r="AB51" s="20"/>
      <c r="AC51" s="22"/>
      <c r="AD51" s="25"/>
      <c r="AE51" s="16"/>
      <c r="AF51" s="16"/>
    </row>
    <row r="52" spans="1:32" ht="15" customHeight="1">
      <c r="A52" s="3"/>
      <c r="B52" s="16" t="s">
        <v>56</v>
      </c>
      <c r="C52" s="16"/>
      <c r="D52" s="16" t="s">
        <v>69</v>
      </c>
      <c r="E52" s="16"/>
      <c r="F52" s="16"/>
      <c r="G52" s="25"/>
      <c r="H52" s="22">
        <f>-0.04-209773795.28</f>
        <v>-209773795.31999999</v>
      </c>
      <c r="I52" s="22"/>
      <c r="J52" s="22"/>
      <c r="K52" s="22">
        <v>0</v>
      </c>
      <c r="L52" s="22"/>
      <c r="M52" s="22"/>
      <c r="N52" s="122">
        <f>-0.04-209773795.28</f>
        <v>-209773795.31999999</v>
      </c>
      <c r="O52" s="18"/>
      <c r="P52" s="43"/>
      <c r="S52" s="56"/>
      <c r="T52" s="60"/>
      <c r="U52" s="61"/>
      <c r="V52" s="61"/>
      <c r="W52" s="61"/>
      <c r="X52" s="55"/>
      <c r="Y52" s="20"/>
      <c r="Z52" s="20"/>
      <c r="AA52" s="20"/>
      <c r="AB52" s="20"/>
      <c r="AC52" s="22"/>
      <c r="AD52" s="25"/>
      <c r="AE52" s="16"/>
      <c r="AF52" s="16"/>
    </row>
    <row r="53" spans="1:32" ht="16.5" customHeight="1">
      <c r="A53" s="3"/>
      <c r="B53" s="16"/>
      <c r="C53" s="16"/>
      <c r="D53" s="16" t="s">
        <v>75</v>
      </c>
      <c r="E53" s="16"/>
      <c r="F53" s="16"/>
      <c r="G53" s="25"/>
      <c r="H53" s="22">
        <f>-41435530.02-30432815.6-88102173.2+256000-29927199.49</f>
        <v>-189641718.31</v>
      </c>
      <c r="I53" s="22">
        <f>+H53+H45</f>
        <v>-167824472.58000001</v>
      </c>
      <c r="J53" s="22"/>
      <c r="K53" s="22">
        <f>-AF31</f>
        <v>-97107198.840000004</v>
      </c>
      <c r="L53" s="22">
        <f>+K53+K45</f>
        <v>-90527593.930000007</v>
      </c>
      <c r="M53" s="22"/>
      <c r="N53" s="122">
        <f>-41435530.02-30432815.6-88102173.2+256000-29927199.49-97107198.84</f>
        <v>-286748917.14999998</v>
      </c>
      <c r="O53" s="22">
        <f>+I53+L53</f>
        <v>-258352066.51000002</v>
      </c>
      <c r="P53" s="43"/>
      <c r="S53" s="57"/>
      <c r="T53" s="61"/>
      <c r="U53" s="61"/>
      <c r="V53" s="40"/>
      <c r="W53" s="40"/>
      <c r="X53" s="55"/>
      <c r="Y53" s="20"/>
      <c r="Z53" s="20"/>
      <c r="AA53" s="20"/>
      <c r="AB53" s="20"/>
      <c r="AC53" s="22"/>
      <c r="AD53" s="25"/>
      <c r="AE53" s="16"/>
      <c r="AF53" s="16"/>
    </row>
    <row r="54" spans="1:32" ht="13.5" customHeight="1">
      <c r="A54" s="3"/>
      <c r="B54" s="28" t="s">
        <v>61</v>
      </c>
      <c r="C54" s="28"/>
      <c r="D54" s="28"/>
      <c r="E54" s="28"/>
      <c r="F54" s="28"/>
      <c r="G54" s="124"/>
      <c r="H54" s="105">
        <f>SUM(H51:H53)</f>
        <v>97276013.100000024</v>
      </c>
      <c r="I54" s="34"/>
      <c r="J54" s="34"/>
      <c r="K54" s="105">
        <f>SUM(K51:K53)</f>
        <v>40244406.069999993</v>
      </c>
      <c r="L54" s="34">
        <f>89857432.91+670161.02</f>
        <v>90527593.929999992</v>
      </c>
      <c r="M54" s="51"/>
      <c r="N54" s="125">
        <f>SUM(N51:N53)</f>
        <v>137520419.17000002</v>
      </c>
      <c r="O54" s="43">
        <f>+N53+N45</f>
        <v>-258352066.50999999</v>
      </c>
      <c r="P54" s="43"/>
      <c r="S54" s="57"/>
      <c r="T54" s="61"/>
      <c r="U54" s="61"/>
      <c r="V54" s="40"/>
      <c r="W54" s="40"/>
      <c r="X54" s="45"/>
      <c r="AC54" s="18"/>
    </row>
    <row r="55" spans="1:32" ht="13.5" customHeight="1">
      <c r="A55" s="3"/>
      <c r="B55" s="28" t="s">
        <v>74</v>
      </c>
      <c r="C55" s="28"/>
      <c r="D55" s="28"/>
      <c r="E55" s="28"/>
      <c r="F55" s="28"/>
      <c r="G55" s="124"/>
      <c r="H55" s="34">
        <f>101246000+101587000+174589000+131372000</f>
        <v>508794000</v>
      </c>
      <c r="I55" s="34"/>
      <c r="J55" s="34"/>
      <c r="K55" s="118">
        <v>139608000</v>
      </c>
      <c r="L55" s="118"/>
      <c r="M55" s="119"/>
      <c r="N55" s="126">
        <f>101246000+101587000+174589000+131372000+139608000</f>
        <v>648402000</v>
      </c>
      <c r="O55" s="18"/>
      <c r="P55" s="43"/>
      <c r="S55" s="57"/>
      <c r="T55" s="61"/>
      <c r="U55" s="61"/>
      <c r="V55" s="40"/>
      <c r="W55" s="40"/>
      <c r="X55" s="45"/>
      <c r="AC55" s="18"/>
    </row>
    <row r="56" spans="1:32" ht="13.5" customHeight="1">
      <c r="A56" s="3"/>
      <c r="B56" s="16" t="s">
        <v>99</v>
      </c>
      <c r="C56" s="28"/>
      <c r="D56" s="28"/>
      <c r="E56" s="28"/>
      <c r="F56" s="28"/>
      <c r="G56" s="124"/>
      <c r="H56" s="107">
        <f>+H53</f>
        <v>-189641718.31</v>
      </c>
      <c r="I56" s="107"/>
      <c r="J56" s="107"/>
      <c r="K56" s="107">
        <f>+K53</f>
        <v>-97107198.840000004</v>
      </c>
      <c r="L56" s="107"/>
      <c r="M56" s="22"/>
      <c r="N56" s="127">
        <f>+N53</f>
        <v>-286748917.14999998</v>
      </c>
      <c r="O56" s="18"/>
      <c r="P56" s="43"/>
      <c r="S56" s="57"/>
      <c r="T56" s="61"/>
      <c r="U56" s="61"/>
      <c r="V56" s="40"/>
      <c r="W56" s="40"/>
      <c r="X56" s="45"/>
      <c r="AC56" s="18"/>
    </row>
    <row r="57" spans="1:32" ht="13.5" customHeight="1">
      <c r="A57" s="3"/>
      <c r="B57" s="28" t="s">
        <v>43</v>
      </c>
      <c r="C57" s="28"/>
      <c r="D57" s="28"/>
      <c r="E57" s="28"/>
      <c r="F57" s="28"/>
      <c r="G57" s="124"/>
      <c r="H57" s="105">
        <f>+H55+H56</f>
        <v>319152281.69</v>
      </c>
      <c r="I57" s="34"/>
      <c r="J57" s="34"/>
      <c r="K57" s="105">
        <f>+K55+K56</f>
        <v>42500801.159999996</v>
      </c>
      <c r="L57" s="34"/>
      <c r="M57" s="34"/>
      <c r="N57" s="125">
        <f>+N55+N56:N56</f>
        <v>361653082.85000002</v>
      </c>
      <c r="O57" s="18"/>
      <c r="P57" s="43"/>
      <c r="S57" s="57"/>
      <c r="T57" s="61"/>
      <c r="U57" s="61"/>
      <c r="V57" s="40"/>
      <c r="W57" s="40"/>
      <c r="X57" s="45"/>
      <c r="AC57" s="18"/>
    </row>
    <row r="58" spans="1:32" ht="13.5" customHeight="1">
      <c r="A58" s="3"/>
      <c r="B58" s="121" t="s">
        <v>42</v>
      </c>
      <c r="C58" s="121"/>
      <c r="D58" s="16"/>
      <c r="E58" s="28"/>
      <c r="F58" s="28"/>
      <c r="G58" s="124"/>
      <c r="H58" s="34"/>
      <c r="I58" s="34"/>
      <c r="J58" s="34"/>
      <c r="K58" s="34"/>
      <c r="L58" s="34"/>
      <c r="M58" s="34"/>
      <c r="N58" s="128"/>
      <c r="P58" s="20"/>
      <c r="S58" s="57"/>
      <c r="T58" s="61"/>
      <c r="U58" s="61"/>
      <c r="V58" s="40"/>
      <c r="W58" s="40"/>
      <c r="X58" s="45"/>
      <c r="AC58" s="18"/>
    </row>
    <row r="59" spans="1:32" ht="13.5" customHeight="1">
      <c r="A59" s="3"/>
      <c r="B59" s="121" t="s">
        <v>73</v>
      </c>
      <c r="C59" s="121"/>
      <c r="D59" s="16"/>
      <c r="E59" s="28"/>
      <c r="F59" s="28"/>
      <c r="G59" s="124"/>
      <c r="H59" s="34"/>
      <c r="I59" s="34"/>
      <c r="J59" s="34"/>
      <c r="K59" s="34"/>
      <c r="L59" s="34"/>
      <c r="M59" s="34"/>
      <c r="N59" s="128"/>
      <c r="P59" s="108"/>
      <c r="S59" s="57"/>
      <c r="T59" s="61"/>
      <c r="U59" s="61"/>
      <c r="V59" s="40"/>
      <c r="W59" s="40"/>
      <c r="X59" s="45"/>
      <c r="AC59" s="18"/>
    </row>
    <row r="60" spans="1:32" ht="13.5" customHeight="1">
      <c r="A60" s="5"/>
      <c r="B60" s="129"/>
      <c r="C60" s="129" t="s">
        <v>102</v>
      </c>
      <c r="D60" s="15"/>
      <c r="E60" s="130"/>
      <c r="F60" s="130"/>
      <c r="G60" s="131"/>
      <c r="H60" s="132"/>
      <c r="I60" s="132"/>
      <c r="J60" s="132"/>
      <c r="K60" s="132"/>
      <c r="L60" s="132"/>
      <c r="M60" s="132"/>
      <c r="N60" s="133"/>
      <c r="S60" s="57"/>
      <c r="T60" s="61"/>
      <c r="U60" s="61"/>
      <c r="V60" s="40"/>
      <c r="W60" s="40"/>
      <c r="X60" s="45"/>
      <c r="AC60" s="18"/>
    </row>
    <row r="61" spans="1:32" ht="15" customHeight="1">
      <c r="B61" s="26"/>
      <c r="C61" s="26"/>
      <c r="H61" s="20"/>
      <c r="I61" s="20"/>
      <c r="J61" s="20"/>
      <c r="K61" s="20"/>
      <c r="M61" s="20"/>
      <c r="N61" s="20"/>
      <c r="O61" s="43"/>
      <c r="S61" s="56"/>
      <c r="T61" s="60"/>
      <c r="U61" s="61"/>
      <c r="V61" s="40"/>
      <c r="W61" s="63"/>
      <c r="X61" s="45"/>
    </row>
    <row r="62" spans="1:32" ht="15" customHeight="1">
      <c r="B62" s="26"/>
      <c r="C62" s="26"/>
      <c r="D62" s="26"/>
      <c r="H62" s="20"/>
      <c r="I62" s="20"/>
      <c r="J62" s="20"/>
      <c r="K62" s="20"/>
      <c r="M62" s="20"/>
      <c r="N62" s="20"/>
      <c r="O62" s="43"/>
      <c r="S62" s="56"/>
      <c r="T62" s="61"/>
      <c r="U62" s="61"/>
      <c r="V62" s="40"/>
      <c r="W62" s="40"/>
      <c r="X62" s="45"/>
    </row>
    <row r="63" spans="1:32" ht="15" customHeight="1">
      <c r="B63" s="16"/>
      <c r="C63" s="16"/>
      <c r="D63" s="16"/>
      <c r="E63" s="16"/>
      <c r="F63" s="38"/>
      <c r="L63" s="38"/>
      <c r="N63" s="22"/>
      <c r="O63" s="18"/>
      <c r="P63" s="18"/>
      <c r="S63" s="56"/>
      <c r="T63" s="60"/>
      <c r="U63" s="61"/>
      <c r="V63" s="62"/>
      <c r="W63" s="61"/>
      <c r="X63" s="45"/>
    </row>
    <row r="64" spans="1:32" ht="15" customHeight="1">
      <c r="B64" s="28"/>
      <c r="C64" s="28"/>
      <c r="D64" s="16"/>
      <c r="E64" s="16"/>
      <c r="N64" s="51"/>
      <c r="S64" s="57"/>
      <c r="T64" s="61"/>
      <c r="U64" s="61"/>
      <c r="V64" s="40"/>
      <c r="W64" s="40"/>
      <c r="X64" s="45"/>
    </row>
    <row r="65" spans="13:29">
      <c r="N65" s="22"/>
      <c r="S65" s="57"/>
      <c r="T65" s="61"/>
      <c r="U65" s="61"/>
      <c r="V65" s="40"/>
      <c r="W65" s="40"/>
      <c r="X65" s="16"/>
    </row>
    <row r="66" spans="13:29">
      <c r="N66" s="22"/>
      <c r="S66" s="57"/>
      <c r="T66" s="57"/>
      <c r="U66" s="57"/>
      <c r="V66" s="40"/>
      <c r="W66" s="50"/>
    </row>
    <row r="67" spans="13:29">
      <c r="S67" s="56"/>
      <c r="T67" s="56"/>
      <c r="U67" s="57"/>
      <c r="V67" s="62"/>
      <c r="W67" s="57"/>
    </row>
    <row r="68" spans="13:29">
      <c r="M68" s="22"/>
      <c r="N68" s="59"/>
      <c r="S68" s="26"/>
    </row>
    <row r="69" spans="13:29">
      <c r="M69" s="22"/>
      <c r="N69" s="22"/>
    </row>
    <row r="70" spans="13:29">
      <c r="M70" s="22"/>
      <c r="N70" s="22"/>
      <c r="T70" s="39" t="s">
        <v>78</v>
      </c>
      <c r="U70" s="39"/>
      <c r="X70" s="19"/>
      <c r="Y70" s="18"/>
    </row>
    <row r="71" spans="13:29">
      <c r="M71" s="22"/>
      <c r="N71" s="22"/>
      <c r="T71" s="54" t="s">
        <v>64</v>
      </c>
      <c r="U71" s="54"/>
      <c r="V71" s="45"/>
      <c r="W71" s="45"/>
      <c r="X71" s="55"/>
    </row>
    <row r="72" spans="13:29">
      <c r="M72" s="22"/>
      <c r="N72" s="22"/>
      <c r="T72" s="56" t="s">
        <v>147</v>
      </c>
      <c r="U72" s="57"/>
      <c r="V72" s="57"/>
      <c r="W72" s="57"/>
      <c r="X72" s="58"/>
      <c r="Y72" s="18"/>
    </row>
    <row r="73" spans="13:29">
      <c r="M73" s="22"/>
      <c r="N73" s="22"/>
      <c r="T73" s="56"/>
      <c r="U73" s="57"/>
      <c r="V73" s="57"/>
      <c r="W73" s="57"/>
      <c r="X73" s="117"/>
      <c r="Y73" s="91" t="s">
        <v>149</v>
      </c>
      <c r="AB73" s="95" t="s">
        <v>95</v>
      </c>
    </row>
    <row r="74" spans="13:29">
      <c r="M74" s="22"/>
      <c r="N74" s="22"/>
      <c r="S74" s="82" t="s">
        <v>82</v>
      </c>
      <c r="T74" s="83"/>
      <c r="U74" s="84"/>
      <c r="V74" s="103"/>
      <c r="W74" s="84"/>
      <c r="X74" s="85"/>
      <c r="Y74" s="86" t="s">
        <v>107</v>
      </c>
      <c r="AB74" s="112" t="s">
        <v>151</v>
      </c>
    </row>
    <row r="75" spans="13:29">
      <c r="M75" s="22"/>
      <c r="N75" s="22"/>
      <c r="S75" s="89" t="s">
        <v>83</v>
      </c>
      <c r="T75" s="60" t="s">
        <v>80</v>
      </c>
      <c r="U75" s="61" t="s">
        <v>4</v>
      </c>
      <c r="V75" s="40">
        <v>35558</v>
      </c>
      <c r="W75" s="40"/>
      <c r="X75" s="69"/>
      <c r="Y75" s="79"/>
      <c r="AB75" s="96"/>
    </row>
    <row r="76" spans="13:29">
      <c r="M76" s="22"/>
      <c r="N76" s="22"/>
      <c r="S76" s="72"/>
      <c r="T76" s="61"/>
      <c r="U76" s="61" t="s">
        <v>5</v>
      </c>
      <c r="V76" s="40">
        <v>46755</v>
      </c>
      <c r="W76" s="40"/>
      <c r="X76" s="69"/>
      <c r="Y76" s="79"/>
      <c r="AB76" s="96"/>
    </row>
    <row r="77" spans="13:29">
      <c r="M77" s="22"/>
      <c r="N77" s="22"/>
      <c r="S77" s="72"/>
      <c r="T77" s="61"/>
      <c r="U77" s="61" t="s">
        <v>7</v>
      </c>
      <c r="V77" s="48">
        <v>28750</v>
      </c>
      <c r="W77" s="40">
        <f>SUM(V75:V77)</f>
        <v>111063</v>
      </c>
      <c r="X77" s="69"/>
      <c r="Y77" s="80">
        <f>+W77</f>
        <v>111063</v>
      </c>
      <c r="Z77" s="18"/>
      <c r="AB77" s="96"/>
    </row>
    <row r="78" spans="13:29">
      <c r="M78" s="22"/>
      <c r="N78" s="22"/>
      <c r="S78" s="72"/>
      <c r="T78" s="60" t="s">
        <v>116</v>
      </c>
      <c r="U78" s="61" t="s">
        <v>5</v>
      </c>
      <c r="V78" s="40"/>
      <c r="W78" s="40">
        <v>5952</v>
      </c>
      <c r="X78" s="69"/>
      <c r="Y78" s="80">
        <f>+W78</f>
        <v>5952</v>
      </c>
      <c r="Z78" s="18"/>
      <c r="AB78" s="96"/>
    </row>
    <row r="79" spans="13:29">
      <c r="M79" s="22"/>
      <c r="N79" s="22"/>
      <c r="P79" s="43"/>
      <c r="S79" s="70" t="s">
        <v>81</v>
      </c>
      <c r="T79" s="60"/>
      <c r="U79" s="61"/>
      <c r="V79" s="40"/>
      <c r="W79" s="40"/>
      <c r="X79" s="73"/>
      <c r="Y79" s="80"/>
      <c r="Z79" s="18"/>
      <c r="AB79" s="96"/>
    </row>
    <row r="80" spans="13:29">
      <c r="M80" s="22"/>
      <c r="N80" s="22"/>
      <c r="P80" s="43"/>
      <c r="S80" s="72"/>
      <c r="T80" s="60" t="s">
        <v>89</v>
      </c>
      <c r="U80" s="61" t="s">
        <v>4</v>
      </c>
      <c r="V80" s="40">
        <v>0</v>
      </c>
      <c r="W80" s="40"/>
      <c r="X80" s="73"/>
      <c r="Y80" s="80">
        <v>0</v>
      </c>
      <c r="Z80" s="93"/>
      <c r="AA80" s="94"/>
      <c r="AB80" s="110">
        <v>0</v>
      </c>
      <c r="AC80" s="88" t="s">
        <v>98</v>
      </c>
    </row>
    <row r="81" spans="13:29">
      <c r="M81" s="22"/>
      <c r="N81" s="22"/>
      <c r="P81" s="43"/>
      <c r="S81" s="72"/>
      <c r="T81" s="60" t="s">
        <v>90</v>
      </c>
      <c r="U81" s="61" t="s">
        <v>5</v>
      </c>
      <c r="V81" s="48">
        <v>0</v>
      </c>
      <c r="W81" s="40">
        <f>+V80+V81</f>
        <v>0</v>
      </c>
      <c r="X81" s="73"/>
      <c r="Y81" s="80">
        <v>0</v>
      </c>
      <c r="AB81" s="96"/>
    </row>
    <row r="82" spans="13:29">
      <c r="M82" s="22"/>
      <c r="N82" s="22"/>
      <c r="P82" s="43"/>
      <c r="S82" s="60" t="s">
        <v>91</v>
      </c>
      <c r="T82" s="60"/>
      <c r="U82" s="61" t="s">
        <v>4</v>
      </c>
      <c r="V82" s="40"/>
      <c r="W82" s="48">
        <v>2025</v>
      </c>
      <c r="X82" s="71">
        <f>SUM(W77:W82)</f>
        <v>119040</v>
      </c>
      <c r="Y82" s="80">
        <f>+W82</f>
        <v>2025</v>
      </c>
      <c r="Z82" s="88" t="s">
        <v>63</v>
      </c>
      <c r="AB82" s="96"/>
    </row>
    <row r="83" spans="13:29">
      <c r="M83" s="51"/>
      <c r="N83" s="34"/>
      <c r="S83" s="90" t="s">
        <v>84</v>
      </c>
      <c r="T83" s="60"/>
      <c r="U83" s="61"/>
      <c r="V83" s="40"/>
      <c r="W83" s="40"/>
      <c r="X83" s="69"/>
      <c r="Y83" s="79"/>
      <c r="AB83" s="96"/>
    </row>
    <row r="84" spans="13:29">
      <c r="M84" s="51"/>
      <c r="N84" s="34"/>
      <c r="S84" s="87"/>
      <c r="T84" s="60" t="s">
        <v>93</v>
      </c>
      <c r="U84" s="61" t="s">
        <v>4</v>
      </c>
      <c r="V84" s="40"/>
      <c r="W84" s="40">
        <v>0</v>
      </c>
      <c r="X84" s="73"/>
      <c r="Y84" s="80">
        <f>+W84</f>
        <v>0</v>
      </c>
      <c r="AB84" s="96"/>
    </row>
    <row r="85" spans="13:29">
      <c r="M85" s="22"/>
      <c r="N85" s="107"/>
      <c r="S85" s="87"/>
      <c r="T85" s="60" t="s">
        <v>148</v>
      </c>
      <c r="U85" s="61" t="s">
        <v>4</v>
      </c>
      <c r="V85" s="40">
        <v>0</v>
      </c>
      <c r="W85" s="40"/>
      <c r="X85" s="69"/>
      <c r="Y85" s="80">
        <v>0</v>
      </c>
      <c r="AB85" s="96"/>
    </row>
    <row r="86" spans="13:29">
      <c r="M86" s="34"/>
      <c r="N86" s="34"/>
      <c r="S86" s="87"/>
      <c r="T86" s="60"/>
      <c r="U86" s="61" t="s">
        <v>5</v>
      </c>
      <c r="V86" s="48">
        <v>2703</v>
      </c>
      <c r="W86" s="40">
        <f>SUM(V85:V86)</f>
        <v>2703</v>
      </c>
      <c r="X86" s="69"/>
      <c r="Y86" s="80">
        <f>+W86</f>
        <v>2703</v>
      </c>
      <c r="AB86" s="96"/>
    </row>
    <row r="87" spans="13:29">
      <c r="S87" s="87"/>
      <c r="T87" s="60" t="s">
        <v>85</v>
      </c>
      <c r="U87" s="61"/>
      <c r="V87" s="40"/>
      <c r="W87" s="40"/>
      <c r="X87" s="69"/>
      <c r="Y87" s="79"/>
      <c r="AB87" s="96"/>
    </row>
    <row r="88" spans="13:29">
      <c r="S88" s="87"/>
      <c r="T88" s="60"/>
      <c r="U88" s="61" t="s">
        <v>4</v>
      </c>
      <c r="V88" s="40">
        <v>0</v>
      </c>
      <c r="W88" s="63"/>
      <c r="X88" s="69"/>
      <c r="Y88" s="79"/>
      <c r="AB88" s="96"/>
    </row>
    <row r="89" spans="13:29">
      <c r="S89" s="87"/>
      <c r="T89" s="60"/>
      <c r="U89" s="61" t="s">
        <v>5</v>
      </c>
      <c r="V89" s="40">
        <v>0</v>
      </c>
      <c r="W89" s="40"/>
      <c r="X89" s="69"/>
      <c r="Y89" s="80"/>
      <c r="AB89" s="96"/>
    </row>
    <row r="90" spans="13:29">
      <c r="S90" s="87"/>
      <c r="T90" s="60"/>
      <c r="U90" s="61" t="s">
        <v>7</v>
      </c>
      <c r="V90" s="48">
        <v>9029</v>
      </c>
      <c r="W90" s="48">
        <f>SUM(V88:V90)</f>
        <v>9029</v>
      </c>
      <c r="X90" s="74">
        <f>SUM(W84:W90)</f>
        <v>11732</v>
      </c>
      <c r="Y90" s="80">
        <f>+W90</f>
        <v>9029</v>
      </c>
      <c r="AB90" s="96"/>
    </row>
    <row r="91" spans="13:29">
      <c r="S91" s="87"/>
      <c r="T91" s="60" t="s">
        <v>86</v>
      </c>
      <c r="U91" s="60"/>
      <c r="V91" s="63"/>
      <c r="W91" s="63"/>
      <c r="X91" s="73">
        <f>SUM(X82:X90)</f>
        <v>130772</v>
      </c>
      <c r="Y91" s="79"/>
      <c r="AB91" s="96"/>
    </row>
    <row r="92" spans="13:29">
      <c r="S92" s="90" t="s">
        <v>87</v>
      </c>
      <c r="T92" s="61"/>
      <c r="U92" s="61" t="s">
        <v>4</v>
      </c>
      <c r="V92" s="40"/>
      <c r="W92" s="40">
        <v>3951</v>
      </c>
      <c r="X92" s="69"/>
      <c r="Y92" s="79"/>
      <c r="AB92" s="96"/>
    </row>
    <row r="93" spans="13:29">
      <c r="S93" s="87"/>
      <c r="T93" s="61"/>
      <c r="U93" s="61" t="s">
        <v>5</v>
      </c>
      <c r="V93" s="40"/>
      <c r="W93" s="40">
        <v>2910</v>
      </c>
      <c r="X93" s="69"/>
      <c r="Y93" s="79"/>
      <c r="AB93" s="96"/>
    </row>
    <row r="94" spans="13:29">
      <c r="S94" s="87"/>
      <c r="T94" s="61"/>
      <c r="U94" s="61" t="s">
        <v>7</v>
      </c>
      <c r="V94" s="40"/>
      <c r="W94" s="48">
        <v>1975</v>
      </c>
      <c r="X94" s="74">
        <f>SUM(W92:W94)</f>
        <v>8836</v>
      </c>
      <c r="Y94" s="104"/>
      <c r="AB94" s="98"/>
    </row>
    <row r="95" spans="13:29">
      <c r="S95" s="90" t="s">
        <v>88</v>
      </c>
      <c r="T95" s="60"/>
      <c r="U95" s="61"/>
      <c r="V95" s="62"/>
      <c r="W95" s="68"/>
      <c r="X95" s="73">
        <f>+X91+X94</f>
        <v>139608</v>
      </c>
      <c r="Y95" s="80">
        <f>SUM(Y77:Y90)</f>
        <v>130772</v>
      </c>
      <c r="Z95" s="88" t="s">
        <v>150</v>
      </c>
      <c r="AB95" s="111">
        <f>SUM(AB77:AB94)</f>
        <v>0</v>
      </c>
      <c r="AC95" s="88" t="s">
        <v>150</v>
      </c>
    </row>
    <row r="96" spans="13:29">
      <c r="S96" s="75"/>
      <c r="T96" s="76"/>
      <c r="U96" s="76"/>
      <c r="V96" s="76"/>
      <c r="W96" s="77"/>
      <c r="X96" s="78"/>
      <c r="Y96" s="81"/>
      <c r="AB96" s="98"/>
    </row>
    <row r="97" spans="24:29">
      <c r="AB97" s="43">
        <f>+(Y95*1000)+AB95</f>
        <v>130772000</v>
      </c>
      <c r="AC97" t="s">
        <v>152</v>
      </c>
    </row>
    <row r="98" spans="24:29">
      <c r="X98" s="18"/>
      <c r="Y98" s="18"/>
      <c r="AB98" s="18"/>
    </row>
    <row r="99" spans="24:29">
      <c r="X99" s="18"/>
      <c r="Y99" s="18"/>
    </row>
    <row r="100" spans="24:29">
      <c r="X100" s="18"/>
    </row>
    <row r="102" spans="24:29">
      <c r="X102" s="18"/>
    </row>
  </sheetData>
  <mergeCells count="12">
    <mergeCell ref="AB12:AF12"/>
    <mergeCell ref="Z35:AA35"/>
    <mergeCell ref="A2:R2"/>
    <mergeCell ref="A3:R3"/>
    <mergeCell ref="G12:K12"/>
    <mergeCell ref="L12:V12"/>
    <mergeCell ref="X12:AA12"/>
    <mergeCell ref="A13:F13"/>
    <mergeCell ref="L13:P13"/>
    <mergeCell ref="Q13:U13"/>
    <mergeCell ref="A15:F15"/>
    <mergeCell ref="W35:Y35"/>
  </mergeCells>
  <printOptions horizontalCentered="1"/>
  <pageMargins left="0" right="0" top="0.18" bottom="0" header="0.17" footer="0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8"/>
  <sheetViews>
    <sheetView workbookViewId="0">
      <selection activeCell="N4" sqref="N4"/>
    </sheetView>
  </sheetViews>
  <sheetFormatPr defaultRowHeight="15"/>
  <cols>
    <col min="1" max="1" width="1.28515625" customWidth="1"/>
    <col min="2" max="3" width="5.140625" customWidth="1"/>
    <col min="4" max="4" width="34" customWidth="1"/>
    <col min="5" max="5" width="1.28515625" customWidth="1"/>
    <col min="6" max="6" width="8.42578125" customWidth="1"/>
    <col min="7" max="7" width="12.7109375" customWidth="1"/>
    <col min="8" max="8" width="13.5703125" customWidth="1"/>
    <col min="9" max="9" width="14.140625" customWidth="1"/>
    <col min="10" max="10" width="12.5703125" customWidth="1"/>
    <col min="11" max="11" width="13.140625" customWidth="1"/>
    <col min="12" max="12" width="15.28515625" customWidth="1"/>
    <col min="13" max="13" width="12.85546875" customWidth="1"/>
    <col min="14" max="14" width="14" customWidth="1"/>
    <col min="15" max="15" width="16.42578125" customWidth="1"/>
    <col min="16" max="16" width="14.140625" customWidth="1"/>
    <col min="17" max="17" width="9.140625" customWidth="1"/>
    <col min="18" max="18" width="12" customWidth="1"/>
    <col min="19" max="19" width="7.85546875" customWidth="1"/>
    <col min="20" max="20" width="14" customWidth="1"/>
    <col min="21" max="22" width="12" customWidth="1"/>
    <col min="23" max="23" width="13.28515625" customWidth="1"/>
    <col min="24" max="24" width="10" customWidth="1"/>
    <col min="25" max="25" width="8.5703125" customWidth="1"/>
    <col min="26" max="26" width="8.28515625" customWidth="1"/>
    <col min="27" max="27" width="8.85546875" customWidth="1"/>
    <col min="28" max="28" width="13.28515625" customWidth="1"/>
    <col min="29" max="29" width="13.5703125" customWidth="1"/>
    <col min="30" max="30" width="8.140625" customWidth="1"/>
    <col min="31" max="31" width="12" customWidth="1"/>
    <col min="32" max="32" width="13.28515625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75" t="s">
        <v>246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>
      <c r="H10" s="18"/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42">
        <v>10863608.449999999</v>
      </c>
      <c r="H18" s="102">
        <v>67264045.920000002</v>
      </c>
      <c r="I18" s="32">
        <v>0</v>
      </c>
      <c r="J18" s="102">
        <v>1368612.22</v>
      </c>
      <c r="K18" s="32">
        <f>SUM(G18:J18)</f>
        <v>79496266.590000004</v>
      </c>
      <c r="L18" s="42">
        <v>0</v>
      </c>
      <c r="M18" s="102">
        <v>5409521.1500000004</v>
      </c>
      <c r="N18" s="42">
        <v>0</v>
      </c>
      <c r="O18" s="42">
        <v>12558124.9</v>
      </c>
      <c r="P18" s="32">
        <f>SUM(L18:O18)</f>
        <v>17967646.050000001</v>
      </c>
      <c r="Q18" s="32">
        <v>0</v>
      </c>
      <c r="R18" s="32">
        <v>1567786.47</v>
      </c>
      <c r="S18" s="32">
        <v>0</v>
      </c>
      <c r="T18" s="32">
        <v>1614420.69</v>
      </c>
      <c r="U18" s="32">
        <f>SUM(Q18:T18)</f>
        <v>3182207.16</v>
      </c>
      <c r="V18" s="32">
        <f>+P18+U18</f>
        <v>21149853.210000001</v>
      </c>
      <c r="W18" s="32">
        <f>+K18+V18</f>
        <v>100646119.80000001</v>
      </c>
      <c r="X18" s="32"/>
      <c r="Y18" s="32"/>
      <c r="Z18" s="32"/>
      <c r="AA18" s="32">
        <f>SUM(X18:Z18)</f>
        <v>0</v>
      </c>
      <c r="AB18" s="32">
        <f>+G18+L18+Q18+X18</f>
        <v>10863608.449999999</v>
      </c>
      <c r="AC18" s="42">
        <f>+H18+M18+R18+Y18</f>
        <v>74241353.540000007</v>
      </c>
      <c r="AD18" s="32">
        <f>+I18+N18+S18</f>
        <v>0</v>
      </c>
      <c r="AE18" s="32">
        <f>+J18+O18+T18+Z18</f>
        <v>15541157.810000001</v>
      </c>
      <c r="AF18" s="32">
        <f>SUM(AB18:AE18)</f>
        <v>100646119.80000001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24318978.829999998</v>
      </c>
      <c r="H19" s="102">
        <v>8506000.9100000001</v>
      </c>
      <c r="I19" s="32">
        <v>0</v>
      </c>
      <c r="J19" s="32">
        <v>0</v>
      </c>
      <c r="K19" s="32">
        <f t="shared" ref="K19:K29" si="0">SUM(G19:J19)</f>
        <v>32824979.739999998</v>
      </c>
      <c r="L19" s="32">
        <v>22510.05</v>
      </c>
      <c r="M19" s="32">
        <v>273321.55</v>
      </c>
      <c r="N19" s="32">
        <v>0</v>
      </c>
      <c r="O19" s="32">
        <v>0</v>
      </c>
      <c r="P19" s="32">
        <f t="shared" ref="P19:P29" si="1">SUM(L19:O19)</f>
        <v>295831.59999999998</v>
      </c>
      <c r="Q19" s="32">
        <v>0</v>
      </c>
      <c r="R19" s="32">
        <v>2962119.41</v>
      </c>
      <c r="S19" s="32">
        <v>0</v>
      </c>
      <c r="T19" s="32">
        <v>630922.85</v>
      </c>
      <c r="U19" s="32">
        <f t="shared" ref="U19:U29" si="2">SUM(Q19:T19)</f>
        <v>3593042.2600000002</v>
      </c>
      <c r="V19" s="32">
        <f t="shared" ref="V19:V29" si="3">+P19+U19</f>
        <v>3888873.8600000003</v>
      </c>
      <c r="W19" s="32">
        <f t="shared" ref="W19:W29" si="4">+K19+V19</f>
        <v>36713853.600000001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24341488.879999999</v>
      </c>
      <c r="AC19" s="32">
        <f t="shared" si="6"/>
        <v>11741441.870000001</v>
      </c>
      <c r="AD19" s="32">
        <f t="shared" ref="AD19:AD29" si="7">+I19+N19+S19</f>
        <v>0</v>
      </c>
      <c r="AE19" s="32">
        <f t="shared" ref="AE19:AE29" si="8">+J19+O19+T19+Z19</f>
        <v>630922.85</v>
      </c>
      <c r="AF19" s="32">
        <f t="shared" ref="AF19:AF29" si="9">SUM(AB19:AE19)</f>
        <v>36713853.600000001</v>
      </c>
      <c r="AG19" s="10"/>
      <c r="AH19" s="18">
        <f t="shared" ref="AH19:AH29" si="10">+W19+AA19-AF19</f>
        <v>0</v>
      </c>
      <c r="AJ19" s="66">
        <f>+AF18+AF19</f>
        <v>137359973.40000001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3345539.73</v>
      </c>
      <c r="H23" s="42">
        <v>714880.88</v>
      </c>
      <c r="I23" s="42">
        <v>0</v>
      </c>
      <c r="J23" s="42">
        <v>5882.15</v>
      </c>
      <c r="K23" s="42">
        <f t="shared" si="0"/>
        <v>4066302.76</v>
      </c>
      <c r="L23" s="42">
        <v>0</v>
      </c>
      <c r="M23" s="42">
        <v>129567.16</v>
      </c>
      <c r="N23" s="42">
        <v>0</v>
      </c>
      <c r="O23" s="42">
        <v>32724.18</v>
      </c>
      <c r="P23" s="42">
        <f t="shared" si="1"/>
        <v>162291.34</v>
      </c>
      <c r="Q23" s="42">
        <v>0</v>
      </c>
      <c r="R23" s="42">
        <v>122682.9</v>
      </c>
      <c r="S23" s="42">
        <v>0</v>
      </c>
      <c r="T23" s="42">
        <v>88094.24</v>
      </c>
      <c r="U23" s="42">
        <f t="shared" si="2"/>
        <v>210777.14</v>
      </c>
      <c r="V23" s="42">
        <f t="shared" si="3"/>
        <v>373068.48</v>
      </c>
      <c r="W23" s="42">
        <f t="shared" si="4"/>
        <v>4439371.24</v>
      </c>
      <c r="X23" s="42"/>
      <c r="Y23" s="42"/>
      <c r="Z23" s="42"/>
      <c r="AA23" s="42">
        <f t="shared" si="5"/>
        <v>0</v>
      </c>
      <c r="AB23" s="42">
        <f t="shared" si="6"/>
        <v>3345539.73</v>
      </c>
      <c r="AC23" s="42">
        <f t="shared" si="6"/>
        <v>967130.94000000006</v>
      </c>
      <c r="AD23" s="42">
        <f t="shared" si="7"/>
        <v>0</v>
      </c>
      <c r="AE23" s="42">
        <f t="shared" si="8"/>
        <v>126700.57</v>
      </c>
      <c r="AF23" s="42">
        <f t="shared" si="9"/>
        <v>4439371.24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137359973.40000001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38528127.009999998</v>
      </c>
      <c r="H31" s="33">
        <f t="shared" ref="H31:AH31" si="11">SUM(H18:H29)</f>
        <v>76484927.709999993</v>
      </c>
      <c r="I31" s="33">
        <f t="shared" si="11"/>
        <v>0</v>
      </c>
      <c r="J31" s="33">
        <f t="shared" si="11"/>
        <v>1374494.3699999999</v>
      </c>
      <c r="K31" s="33">
        <f t="shared" si="11"/>
        <v>116387549.09</v>
      </c>
      <c r="L31" s="33">
        <f t="shared" si="11"/>
        <v>22510.05</v>
      </c>
      <c r="M31" s="33">
        <f t="shared" si="11"/>
        <v>5812409.8600000003</v>
      </c>
      <c r="N31" s="33">
        <f t="shared" si="11"/>
        <v>0</v>
      </c>
      <c r="O31" s="33">
        <f t="shared" si="11"/>
        <v>12590849.08</v>
      </c>
      <c r="P31" s="33">
        <f t="shared" si="11"/>
        <v>18425768.990000002</v>
      </c>
      <c r="Q31" s="33">
        <f t="shared" si="11"/>
        <v>0</v>
      </c>
      <c r="R31" s="33">
        <f t="shared" si="11"/>
        <v>4652588.78</v>
      </c>
      <c r="S31" s="33">
        <f t="shared" si="11"/>
        <v>0</v>
      </c>
      <c r="T31" s="33">
        <f t="shared" si="11"/>
        <v>2333437.7800000003</v>
      </c>
      <c r="U31" s="33">
        <f t="shared" si="11"/>
        <v>6986026.5599999996</v>
      </c>
      <c r="V31" s="33">
        <f t="shared" si="11"/>
        <v>25411795.550000001</v>
      </c>
      <c r="W31" s="33">
        <f t="shared" si="11"/>
        <v>141799344.64000002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38550637.059999995</v>
      </c>
      <c r="AC31" s="33">
        <f t="shared" si="11"/>
        <v>86949926.350000009</v>
      </c>
      <c r="AD31" s="33">
        <f t="shared" si="11"/>
        <v>0</v>
      </c>
      <c r="AE31" s="33">
        <f t="shared" si="11"/>
        <v>16298781.23</v>
      </c>
      <c r="AF31" s="33">
        <f t="shared" si="11"/>
        <v>141799344.64000002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13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ht="6.75" customHeight="1">
      <c r="B34" s="136"/>
    </row>
    <row r="35" spans="1:34" ht="10.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</row>
    <row r="36" spans="1:34">
      <c r="A36" s="3"/>
      <c r="B36" s="28" t="s">
        <v>33</v>
      </c>
      <c r="C36" s="28"/>
      <c r="D36" s="16"/>
      <c r="E36" s="16"/>
      <c r="F36" s="16"/>
      <c r="G36" s="116" t="s">
        <v>153</v>
      </c>
      <c r="H36" s="116"/>
      <c r="I36" s="116"/>
      <c r="J36" s="16"/>
      <c r="K36" s="116" t="s">
        <v>154</v>
      </c>
      <c r="L36" s="116"/>
      <c r="M36" s="16"/>
      <c r="N36" s="137" t="s">
        <v>156</v>
      </c>
      <c r="T36" s="16"/>
      <c r="U36" s="16"/>
      <c r="V36" s="16"/>
      <c r="W36" s="176"/>
      <c r="X36" s="176"/>
      <c r="Y36" s="176"/>
      <c r="Z36" s="179"/>
      <c r="AA36" s="179"/>
      <c r="AB36" s="16"/>
      <c r="AC36" s="16"/>
      <c r="AE36" s="18"/>
    </row>
    <row r="37" spans="1:34" ht="18.75">
      <c r="A37" s="3"/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/>
      <c r="O37" s="16"/>
      <c r="P37" s="16"/>
      <c r="T37" s="16"/>
      <c r="U37" s="16"/>
      <c r="V37" s="16"/>
      <c r="W37" s="106"/>
      <c r="X37" s="22"/>
      <c r="Y37" s="22"/>
      <c r="Z37" s="22"/>
      <c r="AA37" s="22"/>
      <c r="AB37" s="22"/>
      <c r="AC37" s="22"/>
      <c r="AD37" s="43"/>
      <c r="AH37" s="18"/>
    </row>
    <row r="38" spans="1:34">
      <c r="A38" s="3"/>
      <c r="B38" s="16"/>
      <c r="C38" s="16"/>
      <c r="D38" s="16" t="s">
        <v>103</v>
      </c>
      <c r="E38" s="16"/>
      <c r="F38" s="16"/>
      <c r="G38" s="25"/>
      <c r="H38" s="22">
        <f>SUM(G39:G45)</f>
        <v>605646281</v>
      </c>
      <c r="I38" s="22"/>
      <c r="J38" s="22"/>
      <c r="K38" s="59">
        <f>SUM(J39:J45)</f>
        <v>121406959</v>
      </c>
      <c r="L38" s="22"/>
      <c r="M38" s="22"/>
      <c r="N38" s="120">
        <f>SUM(M39:M45)</f>
        <v>727053240</v>
      </c>
      <c r="O38" s="22"/>
      <c r="P38" s="22"/>
      <c r="R38" s="43"/>
      <c r="T38" s="16"/>
      <c r="U38" s="16"/>
      <c r="V38" s="16"/>
      <c r="W38" s="25"/>
      <c r="X38" s="22"/>
      <c r="Y38" s="22"/>
      <c r="Z38" s="22"/>
      <c r="AA38" s="22"/>
      <c r="AB38" s="22"/>
      <c r="AC38" s="22"/>
      <c r="AD38" s="43"/>
    </row>
    <row r="39" spans="1:34">
      <c r="A39" s="3"/>
      <c r="B39" s="16"/>
      <c r="C39" s="16"/>
      <c r="D39" s="121" t="s">
        <v>97</v>
      </c>
      <c r="E39" s="16"/>
      <c r="F39" s="16"/>
      <c r="G39" s="22">
        <f>89000000+93488000+163160000+120179000+128747000</f>
        <v>594574000</v>
      </c>
      <c r="H39" s="22"/>
      <c r="I39" s="22"/>
      <c r="J39" s="40">
        <v>116802000</v>
      </c>
      <c r="K39" s="22"/>
      <c r="L39" s="22"/>
      <c r="M39" s="22">
        <f>89000000+93488000+163160000+120179000+128747000+116802000</f>
        <v>711376000</v>
      </c>
      <c r="N39" s="122"/>
      <c r="O39" s="22"/>
      <c r="P39" s="22"/>
      <c r="T39" s="16"/>
      <c r="U39" s="16"/>
      <c r="V39" s="16"/>
      <c r="W39" s="25"/>
      <c r="X39" s="51"/>
      <c r="Y39" s="51"/>
      <c r="Z39" s="51"/>
      <c r="AA39" s="51"/>
      <c r="AB39" s="51"/>
      <c r="AC39" s="51"/>
      <c r="AD39" s="19"/>
    </row>
    <row r="40" spans="1:34">
      <c r="A40" s="3"/>
      <c r="B40" s="16"/>
      <c r="C40" s="16"/>
      <c r="D40" s="121" t="s">
        <v>100</v>
      </c>
      <c r="E40" s="16"/>
      <c r="F40" s="16"/>
      <c r="G40" s="22">
        <f>2026000+2025000+2025000+2026000+2025000</f>
        <v>10127000</v>
      </c>
      <c r="H40" s="22"/>
      <c r="I40" s="22"/>
      <c r="J40" s="22">
        <v>2025000</v>
      </c>
      <c r="K40" s="22"/>
      <c r="L40" s="22"/>
      <c r="M40" s="22">
        <f>2026000+2025000+2025000+2026000+2025000+2025000</f>
        <v>12152000</v>
      </c>
      <c r="N40" s="122"/>
      <c r="O40" s="22"/>
      <c r="P40" s="22"/>
      <c r="T40" t="s">
        <v>44</v>
      </c>
      <c r="V40" s="20"/>
      <c r="W40" s="20"/>
      <c r="X40" s="20"/>
      <c r="Y40" s="20"/>
      <c r="Z40" t="s">
        <v>47</v>
      </c>
      <c r="AA40" s="20"/>
      <c r="AB40" s="51"/>
      <c r="AC40" s="51"/>
      <c r="AD40" s="19"/>
    </row>
    <row r="41" spans="1:34">
      <c r="A41" s="3"/>
      <c r="B41" s="16"/>
      <c r="C41" s="16"/>
      <c r="D41" s="16" t="s">
        <v>104</v>
      </c>
      <c r="E41" s="16"/>
      <c r="F41" s="16"/>
      <c r="G41" s="22"/>
      <c r="H41" s="22"/>
      <c r="I41" s="22"/>
      <c r="J41" s="22">
        <v>0</v>
      </c>
      <c r="K41" s="22"/>
      <c r="L41" s="22"/>
      <c r="M41" s="22"/>
      <c r="N41" s="122"/>
      <c r="O41" s="22"/>
      <c r="P41" s="22"/>
      <c r="V41" s="20"/>
      <c r="W41" s="20"/>
      <c r="X41" s="20"/>
      <c r="Y41" s="20"/>
      <c r="AA41" s="20"/>
      <c r="AB41" s="31"/>
      <c r="AC41" s="51"/>
      <c r="AD41" s="19"/>
    </row>
    <row r="42" spans="1:34">
      <c r="A42" s="3"/>
      <c r="B42" s="16"/>
      <c r="C42" s="16"/>
      <c r="D42" s="121" t="s">
        <v>105</v>
      </c>
      <c r="E42" s="16"/>
      <c r="F42" s="16"/>
      <c r="G42" s="22">
        <f>94823+94698</f>
        <v>189521</v>
      </c>
      <c r="H42" s="22"/>
      <c r="I42" s="22"/>
      <c r="J42" s="22">
        <v>0</v>
      </c>
      <c r="K42" s="22"/>
      <c r="L42" s="22"/>
      <c r="M42" s="22">
        <f>94823+94698</f>
        <v>189521</v>
      </c>
      <c r="N42" s="122"/>
      <c r="O42" s="22"/>
      <c r="P42" s="22"/>
      <c r="T42" s="38" t="s">
        <v>49</v>
      </c>
      <c r="Z42" s="38" t="s">
        <v>72</v>
      </c>
      <c r="AB42" s="31"/>
      <c r="AC42" s="51"/>
      <c r="AD42" s="19"/>
    </row>
    <row r="43" spans="1:34">
      <c r="A43" s="3"/>
      <c r="B43" s="16"/>
      <c r="C43" s="16"/>
      <c r="D43" s="121" t="s">
        <v>129</v>
      </c>
      <c r="E43" s="16"/>
      <c r="F43" s="16"/>
      <c r="G43" s="22">
        <v>85598</v>
      </c>
      <c r="H43" s="22"/>
      <c r="I43" s="22"/>
      <c r="J43" s="22">
        <v>0</v>
      </c>
      <c r="K43" s="22"/>
      <c r="L43" s="22"/>
      <c r="M43" s="22">
        <v>85598</v>
      </c>
      <c r="N43" s="122"/>
      <c r="O43" s="22"/>
      <c r="P43" s="22"/>
      <c r="T43" t="s">
        <v>46</v>
      </c>
      <c r="Z43" t="s">
        <v>71</v>
      </c>
      <c r="AB43" s="31"/>
      <c r="AC43" s="51"/>
      <c r="AD43" s="19"/>
    </row>
    <row r="44" spans="1:34">
      <c r="A44" s="3"/>
      <c r="B44" s="16"/>
      <c r="C44" s="16"/>
      <c r="D44" s="121" t="s">
        <v>130</v>
      </c>
      <c r="E44" s="16"/>
      <c r="F44" s="16"/>
      <c r="G44" s="22">
        <v>670162</v>
      </c>
      <c r="H44" s="22"/>
      <c r="I44" s="22"/>
      <c r="J44" s="22">
        <v>0</v>
      </c>
      <c r="K44" s="22"/>
      <c r="L44" s="22"/>
      <c r="M44" s="22">
        <v>670162</v>
      </c>
      <c r="N44" s="122"/>
      <c r="O44" s="22"/>
      <c r="P44" s="22"/>
      <c r="T44" t="s">
        <v>45</v>
      </c>
      <c r="Z44" t="s">
        <v>48</v>
      </c>
      <c r="AB44" s="31"/>
      <c r="AC44" s="51"/>
      <c r="AD44" s="19"/>
    </row>
    <row r="45" spans="1:34">
      <c r="A45" s="3"/>
      <c r="B45" s="16"/>
      <c r="C45" s="16"/>
      <c r="D45" s="121" t="s">
        <v>155</v>
      </c>
      <c r="E45" s="16"/>
      <c r="F45" s="16"/>
      <c r="G45" s="21">
        <v>0</v>
      </c>
      <c r="H45" s="22"/>
      <c r="I45" s="22"/>
      <c r="J45" s="21">
        <v>2579959</v>
      </c>
      <c r="K45" s="22"/>
      <c r="L45" s="22"/>
      <c r="M45" s="21">
        <v>2579959</v>
      </c>
      <c r="N45" s="122"/>
      <c r="O45" s="22"/>
      <c r="P45" s="22"/>
      <c r="AB45" s="31"/>
      <c r="AC45" s="51"/>
      <c r="AD45" s="19"/>
    </row>
    <row r="46" spans="1:34">
      <c r="A46" s="3"/>
      <c r="B46" s="16"/>
      <c r="C46" s="16"/>
      <c r="D46" s="16" t="s">
        <v>35</v>
      </c>
      <c r="E46" s="16"/>
      <c r="F46" s="16"/>
      <c r="G46" s="22"/>
      <c r="H46" s="22">
        <v>0</v>
      </c>
      <c r="I46" s="22"/>
      <c r="J46" s="22"/>
      <c r="K46" s="22">
        <v>0</v>
      </c>
      <c r="L46" s="22"/>
      <c r="M46" s="22"/>
      <c r="N46" s="122"/>
      <c r="O46" s="22"/>
      <c r="P46" s="22"/>
      <c r="Z46" t="s">
        <v>45</v>
      </c>
      <c r="AB46" s="31"/>
      <c r="AC46" s="22"/>
      <c r="AD46" s="25"/>
      <c r="AE46" s="16"/>
      <c r="AF46" s="16"/>
    </row>
    <row r="47" spans="1:34">
      <c r="A47" s="3"/>
      <c r="B47" s="16"/>
      <c r="C47" s="16"/>
      <c r="D47" s="16" t="s">
        <v>36</v>
      </c>
      <c r="E47" s="16"/>
      <c r="F47" s="16"/>
      <c r="G47" s="25"/>
      <c r="H47" s="22">
        <f>21817245.73+6579604.91</f>
        <v>28396850.640000001</v>
      </c>
      <c r="I47" s="22"/>
      <c r="J47" s="22"/>
      <c r="K47" s="59">
        <v>4439371.24</v>
      </c>
      <c r="L47" s="22"/>
      <c r="M47" s="22"/>
      <c r="N47" s="122">
        <f>6514818+3759574.58+7395098.56+4147754.59+6579604.91+4439371.24</f>
        <v>32836221.880000003</v>
      </c>
      <c r="O47" s="22"/>
      <c r="P47" s="22"/>
      <c r="R47" s="18"/>
      <c r="W47" s="19"/>
      <c r="X47" s="51"/>
      <c r="Y47" s="31"/>
      <c r="Z47" s="31"/>
      <c r="AA47" s="51"/>
      <c r="AB47" s="31"/>
      <c r="AC47" s="51"/>
      <c r="AD47" s="25"/>
      <c r="AE47" s="16"/>
      <c r="AF47" s="16"/>
    </row>
    <row r="48" spans="1:34">
      <c r="A48" s="3"/>
      <c r="B48" s="16"/>
      <c r="C48" s="16"/>
      <c r="D48" s="16" t="s">
        <v>37</v>
      </c>
      <c r="E48" s="16"/>
      <c r="F48" s="16"/>
      <c r="G48" s="25"/>
      <c r="H48" s="22">
        <v>0</v>
      </c>
      <c r="I48" s="22"/>
      <c r="J48" s="22"/>
      <c r="K48" s="22">
        <v>0</v>
      </c>
      <c r="L48" s="22"/>
      <c r="M48" s="22"/>
      <c r="N48" s="122"/>
      <c r="O48" s="22"/>
      <c r="P48" s="22"/>
      <c r="W48" s="19"/>
      <c r="X48" s="22"/>
      <c r="Y48" s="20"/>
      <c r="Z48" s="20"/>
      <c r="AA48" s="20"/>
      <c r="AB48" s="20"/>
      <c r="AC48" s="22"/>
      <c r="AD48" s="25"/>
      <c r="AE48" s="16"/>
      <c r="AF48" s="16"/>
    </row>
    <row r="49" spans="1:32" ht="14.25" customHeight="1">
      <c r="A49" s="3"/>
      <c r="B49" s="16"/>
      <c r="C49" s="16"/>
      <c r="D49" s="16" t="s">
        <v>38</v>
      </c>
      <c r="E49" s="16"/>
      <c r="F49" s="16"/>
      <c r="G49" s="25"/>
      <c r="H49" s="22">
        <v>0</v>
      </c>
      <c r="I49" s="22"/>
      <c r="J49" s="22"/>
      <c r="K49" s="22">
        <v>0</v>
      </c>
      <c r="L49" s="22"/>
      <c r="M49" s="22"/>
      <c r="N49" s="122"/>
      <c r="O49" s="22"/>
      <c r="P49" s="22"/>
      <c r="S49" s="39"/>
      <c r="T49" s="39"/>
      <c r="W49" s="19"/>
      <c r="X49" s="22"/>
      <c r="Y49" s="20"/>
      <c r="Z49" s="20"/>
      <c r="AA49" s="20"/>
      <c r="AB49" s="20"/>
      <c r="AC49" s="22"/>
      <c r="AD49" s="25"/>
      <c r="AE49" s="16"/>
      <c r="AF49" s="16"/>
    </row>
    <row r="50" spans="1:32" ht="13.5" customHeight="1">
      <c r="A50" s="3"/>
      <c r="B50" s="16"/>
      <c r="C50" s="16"/>
      <c r="D50" s="15" t="s">
        <v>39</v>
      </c>
      <c r="E50" s="16"/>
      <c r="F50" s="16"/>
      <c r="G50" s="25"/>
      <c r="H50" s="21">
        <v>0</v>
      </c>
      <c r="I50" s="22"/>
      <c r="J50" s="22"/>
      <c r="K50" s="21">
        <v>0</v>
      </c>
      <c r="L50" s="22"/>
      <c r="M50" s="22"/>
      <c r="N50" s="123"/>
      <c r="O50" s="22"/>
      <c r="P50" s="22"/>
      <c r="S50" s="39"/>
      <c r="T50" s="39"/>
      <c r="W50" s="19"/>
      <c r="X50" s="22"/>
      <c r="Y50" s="20"/>
      <c r="Z50" s="20"/>
      <c r="AA50" s="20"/>
      <c r="AB50" s="20"/>
      <c r="AC50" s="22"/>
      <c r="AD50" s="25"/>
      <c r="AE50" s="16"/>
      <c r="AF50" s="16"/>
    </row>
    <row r="51" spans="1:32" ht="13.5" customHeight="1">
      <c r="A51" s="3"/>
      <c r="B51" s="16"/>
      <c r="C51" s="16"/>
      <c r="D51" s="16" t="s">
        <v>57</v>
      </c>
      <c r="E51" s="16"/>
      <c r="F51" s="16"/>
      <c r="G51" s="25"/>
      <c r="H51" s="22">
        <f>SUM(H38:H50)</f>
        <v>634043131.63999999</v>
      </c>
      <c r="I51" s="22"/>
      <c r="J51" s="22"/>
      <c r="K51" s="22">
        <f>SUM(K38:K50)</f>
        <v>125846330.23999999</v>
      </c>
      <c r="L51" s="22"/>
      <c r="M51" s="22"/>
      <c r="N51" s="122">
        <f>SUM(N38:N50)</f>
        <v>759889461.88</v>
      </c>
      <c r="O51" s="22"/>
      <c r="P51" s="22"/>
      <c r="R51" s="43"/>
      <c r="S51" s="39"/>
      <c r="T51" s="65"/>
      <c r="U51" s="65"/>
      <c r="V51" s="16"/>
      <c r="W51" s="16"/>
      <c r="X51" s="25"/>
      <c r="Y51" s="20"/>
      <c r="Z51" s="20"/>
      <c r="AA51" s="20"/>
      <c r="AB51" s="20"/>
      <c r="AC51" s="22"/>
      <c r="AD51" s="25"/>
      <c r="AE51" s="16"/>
      <c r="AF51" s="16"/>
    </row>
    <row r="52" spans="1:32">
      <c r="A52" s="3"/>
      <c r="B52" s="16" t="s">
        <v>40</v>
      </c>
      <c r="C52" s="16"/>
      <c r="D52" s="16"/>
      <c r="E52" s="16"/>
      <c r="F52" s="16"/>
      <c r="G52" s="25"/>
      <c r="H52" s="21">
        <v>0</v>
      </c>
      <c r="I52" s="22"/>
      <c r="J52" s="22"/>
      <c r="K52" s="21">
        <v>0</v>
      </c>
      <c r="L52" s="22"/>
      <c r="M52" s="22"/>
      <c r="N52" s="123">
        <v>0</v>
      </c>
      <c r="O52" s="22"/>
      <c r="P52" s="22"/>
      <c r="S52" s="54"/>
      <c r="T52" s="54"/>
      <c r="U52" s="54"/>
      <c r="V52" s="45"/>
      <c r="W52" s="45"/>
      <c r="X52" s="55"/>
      <c r="Y52" s="22"/>
      <c r="Z52" s="22"/>
      <c r="AA52" s="22"/>
      <c r="AB52" s="22"/>
      <c r="AC52" s="51"/>
      <c r="AD52" s="25"/>
      <c r="AE52" s="16"/>
      <c r="AF52" s="16"/>
    </row>
    <row r="53" spans="1:32" ht="15" customHeight="1">
      <c r="A53" s="3"/>
      <c r="B53" s="28" t="s">
        <v>41</v>
      </c>
      <c r="C53" s="28"/>
      <c r="D53" s="16"/>
      <c r="E53" s="16"/>
      <c r="F53" s="16"/>
      <c r="G53" s="25"/>
      <c r="H53" s="22">
        <f>+H51-H52</f>
        <v>634043131.63999999</v>
      </c>
      <c r="I53" s="22"/>
      <c r="J53" s="22"/>
      <c r="K53" s="22">
        <f>+K51-K52</f>
        <v>125846330.23999999</v>
      </c>
      <c r="L53" s="22"/>
      <c r="M53" s="22"/>
      <c r="N53" s="122">
        <f>+N51-N52</f>
        <v>759889461.88</v>
      </c>
      <c r="O53" s="22"/>
      <c r="P53" s="22"/>
      <c r="R53" s="43"/>
      <c r="S53" s="56"/>
      <c r="T53" s="60"/>
      <c r="U53" s="61"/>
      <c r="V53" s="61"/>
      <c r="W53" s="61"/>
      <c r="X53" s="55"/>
      <c r="Y53" s="20"/>
      <c r="Z53" s="20"/>
      <c r="AA53" s="20"/>
      <c r="AB53" s="20"/>
      <c r="AC53" s="22"/>
      <c r="AD53" s="25"/>
      <c r="AE53" s="16"/>
      <c r="AF53" s="16"/>
    </row>
    <row r="54" spans="1:32" ht="15" customHeight="1">
      <c r="A54" s="3"/>
      <c r="B54" s="16" t="s">
        <v>56</v>
      </c>
      <c r="C54" s="16"/>
      <c r="D54" s="16" t="s">
        <v>163</v>
      </c>
      <c r="E54" s="16"/>
      <c r="F54" s="16"/>
      <c r="G54" s="25"/>
      <c r="H54" s="22">
        <f>-0.04-209773795.28-0.97-1.45</f>
        <v>-209773797.73999998</v>
      </c>
      <c r="I54" s="22"/>
      <c r="J54" s="22"/>
      <c r="K54" s="22">
        <v>0</v>
      </c>
      <c r="L54" s="22"/>
      <c r="M54" s="22"/>
      <c r="N54" s="122">
        <f>-0.04-209773795.28-0.97-1.45</f>
        <v>-209773797.73999998</v>
      </c>
      <c r="O54" s="22"/>
      <c r="P54" s="22"/>
      <c r="S54" s="56"/>
      <c r="T54" s="60"/>
      <c r="U54" s="61"/>
      <c r="V54" s="61"/>
      <c r="W54" s="61"/>
      <c r="X54" s="55"/>
      <c r="Y54" s="20"/>
      <c r="Z54" s="20"/>
      <c r="AA54" s="20"/>
      <c r="AB54" s="20"/>
      <c r="AC54" s="22"/>
      <c r="AD54" s="25"/>
      <c r="AE54" s="16"/>
      <c r="AF54" s="16"/>
    </row>
    <row r="55" spans="1:32" ht="15" customHeight="1">
      <c r="A55" s="3"/>
      <c r="B55" s="16"/>
      <c r="C55" s="16"/>
      <c r="D55" s="16" t="s">
        <v>164</v>
      </c>
      <c r="E55" s="16"/>
      <c r="F55" s="16"/>
      <c r="G55" s="25"/>
      <c r="H55" s="22"/>
      <c r="I55" s="22"/>
      <c r="J55" s="22"/>
      <c r="K55" s="22">
        <v>-118987443.34999999</v>
      </c>
      <c r="L55" s="22"/>
      <c r="M55" s="22"/>
      <c r="N55" s="122">
        <v>-118987443.34999999</v>
      </c>
      <c r="O55" s="22"/>
      <c r="P55" s="22"/>
      <c r="S55" s="56"/>
      <c r="T55" s="60"/>
      <c r="U55" s="61"/>
      <c r="V55" s="61"/>
      <c r="W55" s="61"/>
      <c r="X55" s="55"/>
      <c r="Y55" s="20"/>
      <c r="Z55" s="20"/>
      <c r="AA55" s="20"/>
      <c r="AB55" s="20"/>
      <c r="AC55" s="22"/>
      <c r="AD55" s="25"/>
      <c r="AE55" s="16"/>
      <c r="AF55" s="16"/>
    </row>
    <row r="56" spans="1:32" ht="16.5" customHeight="1">
      <c r="A56" s="3"/>
      <c r="B56" s="16"/>
      <c r="C56" s="16"/>
      <c r="D56" s="16" t="s">
        <v>75</v>
      </c>
      <c r="E56" s="16"/>
      <c r="F56" s="16"/>
      <c r="G56" s="25"/>
      <c r="H56" s="22">
        <f>-41435530.02-30432815.6-88102173.2+256000-29927199.49-97107198.84</f>
        <v>-286748917.14999998</v>
      </c>
      <c r="I56" s="22">
        <f>+H56+H47</f>
        <v>-258352066.50999999</v>
      </c>
      <c r="J56" s="22"/>
      <c r="K56" s="22">
        <f>-AF31</f>
        <v>-141799344.64000002</v>
      </c>
      <c r="L56" s="22">
        <f>+K56+K47</f>
        <v>-137359973.40000001</v>
      </c>
      <c r="M56" s="22"/>
      <c r="N56" s="122">
        <f>-41435530.02-30432815.6-88102173.2+256000-29927199.49-97107198.84-141799344.64</f>
        <v>-428548261.78999996</v>
      </c>
      <c r="O56" s="22"/>
      <c r="P56" s="22"/>
      <c r="Q56" s="16"/>
      <c r="R56" s="43"/>
      <c r="S56" s="57"/>
      <c r="T56" s="61"/>
      <c r="U56" s="61"/>
      <c r="V56" s="40"/>
      <c r="W56" s="40"/>
      <c r="X56" s="55"/>
      <c r="Y56" s="20"/>
      <c r="Z56" s="20"/>
      <c r="AA56" s="20"/>
      <c r="AB56" s="20"/>
      <c r="AC56" s="22"/>
      <c r="AD56" s="25"/>
      <c r="AE56" s="16"/>
      <c r="AF56" s="16"/>
    </row>
    <row r="57" spans="1:32" ht="13.5" customHeight="1">
      <c r="A57" s="3"/>
      <c r="B57" s="28" t="s">
        <v>61</v>
      </c>
      <c r="C57" s="28"/>
      <c r="D57" s="28"/>
      <c r="E57" s="28"/>
      <c r="F57" s="28"/>
      <c r="G57" s="124"/>
      <c r="H57" s="105">
        <f>SUM(H53:H56)</f>
        <v>137520416.75</v>
      </c>
      <c r="I57" s="34"/>
      <c r="J57" s="34"/>
      <c r="K57" s="105">
        <f>SUM(K53:K56)</f>
        <v>-134940457.75</v>
      </c>
      <c r="L57" s="34"/>
      <c r="M57" s="51"/>
      <c r="N57" s="125">
        <f>SUM(N53:N56)</f>
        <v>2579959</v>
      </c>
      <c r="O57" s="51"/>
      <c r="P57" s="22"/>
      <c r="R57" s="18"/>
      <c r="S57" s="57"/>
      <c r="T57" s="61"/>
      <c r="U57" s="61"/>
      <c r="V57" s="40"/>
      <c r="W57" s="40"/>
      <c r="X57" s="45"/>
      <c r="AC57" s="18"/>
    </row>
    <row r="58" spans="1:32" ht="11.25" customHeight="1">
      <c r="A58" s="3"/>
      <c r="B58" s="28"/>
      <c r="C58" s="28"/>
      <c r="D58" s="28"/>
      <c r="E58" s="28"/>
      <c r="F58" s="28"/>
      <c r="G58" s="124"/>
      <c r="H58" s="34"/>
      <c r="I58" s="34"/>
      <c r="J58" s="34"/>
      <c r="K58" s="34"/>
      <c r="L58" s="34"/>
      <c r="M58" s="51"/>
      <c r="N58" s="128"/>
      <c r="O58" s="51"/>
      <c r="P58" s="34"/>
      <c r="R58" s="18"/>
      <c r="S58" s="57"/>
      <c r="T58" s="61"/>
      <c r="U58" s="61"/>
      <c r="V58" s="40"/>
      <c r="W58" s="40"/>
      <c r="X58" s="45"/>
      <c r="AC58" s="18"/>
    </row>
    <row r="59" spans="1:32" ht="13.5" customHeight="1">
      <c r="A59" s="3"/>
      <c r="B59" s="28" t="s">
        <v>74</v>
      </c>
      <c r="C59" s="28"/>
      <c r="D59" s="28"/>
      <c r="E59" s="28"/>
      <c r="F59" s="28"/>
      <c r="G59" s="124"/>
      <c r="H59" s="34">
        <f>101246000+101587000+174589000+131372000+139608000</f>
        <v>648402000</v>
      </c>
      <c r="I59" s="34"/>
      <c r="J59" s="34"/>
      <c r="K59" s="118">
        <v>137278000</v>
      </c>
      <c r="L59" s="118"/>
      <c r="M59" s="119"/>
      <c r="N59" s="126">
        <f>101246000+101587000+174589000+131372000+139608000+137278000</f>
        <v>785680000</v>
      </c>
      <c r="O59" s="119"/>
      <c r="P59" s="22"/>
      <c r="R59" s="18"/>
      <c r="S59" s="57"/>
      <c r="T59" s="61"/>
      <c r="U59" s="61"/>
      <c r="V59" s="40"/>
      <c r="W59" s="40"/>
      <c r="X59" s="45"/>
      <c r="AC59" s="18"/>
    </row>
    <row r="60" spans="1:32" ht="13.5" customHeight="1">
      <c r="A60" s="3"/>
      <c r="B60" s="16" t="s">
        <v>99</v>
      </c>
      <c r="C60" s="28"/>
      <c r="D60" s="28"/>
      <c r="E60" s="28"/>
      <c r="F60" s="28"/>
      <c r="G60" s="124"/>
      <c r="H60" s="107">
        <f>+H56</f>
        <v>-286748917.14999998</v>
      </c>
      <c r="I60" s="107"/>
      <c r="J60" s="107"/>
      <c r="K60" s="107">
        <f>+K56</f>
        <v>-141799344.64000002</v>
      </c>
      <c r="L60" s="107"/>
      <c r="M60" s="22"/>
      <c r="N60" s="127">
        <f>+N56</f>
        <v>-428548261.78999996</v>
      </c>
      <c r="O60" s="22"/>
      <c r="P60" s="138"/>
      <c r="S60" s="57"/>
      <c r="T60" s="61"/>
      <c r="U60" s="61"/>
      <c r="V60" s="40"/>
      <c r="W60" s="40"/>
      <c r="X60" s="45"/>
      <c r="AC60" s="18"/>
    </row>
    <row r="61" spans="1:32" ht="13.5" customHeight="1">
      <c r="A61" s="3"/>
      <c r="B61" s="28" t="s">
        <v>43</v>
      </c>
      <c r="C61" s="28"/>
      <c r="D61" s="28"/>
      <c r="E61" s="28"/>
      <c r="F61" s="28"/>
      <c r="G61" s="124"/>
      <c r="H61" s="105">
        <f>+H59+H60</f>
        <v>361653082.85000002</v>
      </c>
      <c r="I61" s="34"/>
      <c r="J61" s="34"/>
      <c r="K61" s="105">
        <f>+K59+K60</f>
        <v>-4521344.6400000155</v>
      </c>
      <c r="L61" s="34"/>
      <c r="M61" s="34"/>
      <c r="N61" s="125">
        <f>+N59+N60:N60</f>
        <v>357131738.21000004</v>
      </c>
      <c r="O61" s="34"/>
      <c r="P61" s="22"/>
      <c r="S61" s="57"/>
      <c r="T61" s="61"/>
      <c r="U61" s="61"/>
      <c r="V61" s="40"/>
      <c r="W61" s="40"/>
      <c r="X61" s="45"/>
      <c r="AC61" s="18"/>
    </row>
    <row r="62" spans="1:32" ht="13.5" customHeight="1">
      <c r="A62" s="3"/>
      <c r="B62" s="121" t="s">
        <v>42</v>
      </c>
      <c r="C62" s="121"/>
      <c r="D62" s="16"/>
      <c r="E62" s="28"/>
      <c r="F62" s="28"/>
      <c r="G62" s="124"/>
      <c r="H62" s="34"/>
      <c r="I62" s="34"/>
      <c r="J62" s="34"/>
      <c r="K62" s="34"/>
      <c r="L62" s="34"/>
      <c r="M62" s="34"/>
      <c r="N62" s="128"/>
      <c r="O62" s="34"/>
      <c r="P62" s="34"/>
      <c r="S62" s="57"/>
      <c r="T62" s="61"/>
      <c r="U62" s="61"/>
      <c r="V62" s="40"/>
      <c r="W62" s="40"/>
      <c r="X62" s="45"/>
      <c r="AC62" s="18"/>
    </row>
    <row r="63" spans="1:32" ht="13.5" customHeight="1">
      <c r="A63" s="3"/>
      <c r="B63" s="121" t="s">
        <v>73</v>
      </c>
      <c r="C63" s="121"/>
      <c r="D63" s="16"/>
      <c r="E63" s="28"/>
      <c r="F63" s="28"/>
      <c r="G63" s="124"/>
      <c r="H63" s="34"/>
      <c r="I63" s="34"/>
      <c r="J63" s="34"/>
      <c r="K63" s="34"/>
      <c r="L63" s="34"/>
      <c r="M63" s="34"/>
      <c r="N63" s="128"/>
      <c r="O63" s="34"/>
      <c r="P63" s="34"/>
      <c r="S63" s="57"/>
      <c r="T63" s="61"/>
      <c r="U63" s="61"/>
      <c r="V63" s="40"/>
      <c r="W63" s="40"/>
      <c r="X63" s="45"/>
      <c r="AC63" s="18"/>
    </row>
    <row r="64" spans="1:32" ht="13.5" customHeight="1">
      <c r="A64" s="5"/>
      <c r="B64" s="129"/>
      <c r="C64" s="129" t="s">
        <v>102</v>
      </c>
      <c r="D64" s="15"/>
      <c r="E64" s="130"/>
      <c r="F64" s="130"/>
      <c r="G64" s="131"/>
      <c r="H64" s="132"/>
      <c r="I64" s="132"/>
      <c r="J64" s="132"/>
      <c r="K64" s="132"/>
      <c r="L64" s="132"/>
      <c r="M64" s="132"/>
      <c r="N64" s="133"/>
      <c r="O64" s="16"/>
      <c r="P64" s="16"/>
      <c r="S64" s="57"/>
      <c r="T64" s="61"/>
      <c r="U64" s="61"/>
      <c r="V64" s="40"/>
      <c r="W64" s="40"/>
      <c r="X64" s="45"/>
      <c r="AC64" s="18"/>
    </row>
    <row r="65" spans="2:28" ht="15" customHeight="1">
      <c r="B65" s="26"/>
      <c r="C65" s="26"/>
      <c r="H65" s="20"/>
      <c r="I65" s="20"/>
      <c r="J65" s="20"/>
      <c r="K65" s="20"/>
      <c r="M65" s="20"/>
      <c r="N65" s="20"/>
      <c r="O65" s="134"/>
      <c r="P65" s="16"/>
      <c r="S65" s="56"/>
      <c r="T65" s="60"/>
      <c r="U65" s="61"/>
      <c r="V65" s="40"/>
      <c r="W65" s="63"/>
      <c r="X65" s="45"/>
    </row>
    <row r="66" spans="2:28" ht="15" customHeight="1">
      <c r="B66" s="26"/>
      <c r="C66" s="26"/>
      <c r="D66" s="26"/>
      <c r="H66" s="20"/>
      <c r="I66" s="20"/>
      <c r="J66" s="20"/>
      <c r="K66" s="20"/>
      <c r="M66" s="20"/>
      <c r="N66" s="20"/>
      <c r="O66" s="43"/>
      <c r="S66" s="56"/>
      <c r="T66" s="61"/>
      <c r="U66" s="61"/>
      <c r="V66" s="40"/>
      <c r="W66" s="40"/>
      <c r="X66" s="45"/>
    </row>
    <row r="67" spans="2:28" ht="15" customHeight="1">
      <c r="B67" s="16"/>
      <c r="C67" s="16"/>
      <c r="D67" s="16"/>
      <c r="E67" s="16"/>
      <c r="F67" s="38"/>
      <c r="K67" s="18"/>
      <c r="L67" s="38"/>
      <c r="N67" s="22"/>
      <c r="O67" s="18"/>
      <c r="P67" s="18"/>
      <c r="S67" s="56"/>
      <c r="T67" s="60"/>
      <c r="U67" s="61"/>
      <c r="V67" s="62"/>
      <c r="W67" s="61"/>
      <c r="X67" s="45"/>
    </row>
    <row r="68" spans="2:28" ht="15" customHeight="1">
      <c r="B68" s="28"/>
      <c r="C68" s="28"/>
      <c r="D68" s="16"/>
      <c r="E68" s="16"/>
      <c r="N68" s="51"/>
      <c r="S68" s="57"/>
      <c r="T68" s="61"/>
      <c r="U68" s="61"/>
      <c r="V68" s="40"/>
      <c r="W68" s="40"/>
      <c r="X68" s="45"/>
    </row>
    <row r="69" spans="2:28">
      <c r="N69" s="22"/>
      <c r="S69" s="57"/>
      <c r="T69" s="61"/>
      <c r="U69" s="61"/>
      <c r="V69" s="40"/>
      <c r="W69" s="40"/>
      <c r="X69" s="16"/>
    </row>
    <row r="70" spans="2:28">
      <c r="N70" s="22"/>
      <c r="S70" s="57"/>
      <c r="T70" s="57"/>
      <c r="U70" s="57"/>
      <c r="V70" s="40"/>
      <c r="W70" s="50"/>
    </row>
    <row r="71" spans="2:28">
      <c r="N71" s="18"/>
      <c r="S71" s="56"/>
      <c r="T71" s="56"/>
      <c r="U71" s="57"/>
      <c r="V71" s="62"/>
      <c r="W71" s="57"/>
    </row>
    <row r="72" spans="2:28">
      <c r="M72" s="22"/>
      <c r="N72" s="59"/>
      <c r="S72" s="26"/>
    </row>
    <row r="73" spans="2:28">
      <c r="M73" s="22"/>
      <c r="N73" s="22"/>
    </row>
    <row r="74" spans="2:28">
      <c r="M74" s="22"/>
      <c r="N74" s="22"/>
      <c r="T74" s="39" t="s">
        <v>78</v>
      </c>
      <c r="U74" s="39"/>
      <c r="X74" s="19"/>
      <c r="Y74" s="18"/>
    </row>
    <row r="75" spans="2:28">
      <c r="M75" s="22"/>
      <c r="N75" s="22"/>
      <c r="T75" s="54" t="s">
        <v>64</v>
      </c>
      <c r="U75" s="54"/>
      <c r="V75" s="45"/>
      <c r="W75" s="45"/>
      <c r="X75" s="55"/>
    </row>
    <row r="76" spans="2:28">
      <c r="M76" s="22"/>
      <c r="N76" s="22"/>
      <c r="T76" s="56" t="s">
        <v>157</v>
      </c>
      <c r="U76" s="57"/>
      <c r="V76" s="57"/>
      <c r="W76" s="57"/>
      <c r="X76" s="58"/>
      <c r="Y76" s="18"/>
    </row>
    <row r="77" spans="2:28">
      <c r="M77" s="22"/>
      <c r="N77" s="22"/>
      <c r="T77" s="56"/>
      <c r="U77" s="57"/>
      <c r="V77" s="57"/>
      <c r="W77" s="57"/>
      <c r="X77" s="117"/>
      <c r="Y77" s="91" t="s">
        <v>160</v>
      </c>
      <c r="AB77" s="95" t="s">
        <v>95</v>
      </c>
    </row>
    <row r="78" spans="2:28">
      <c r="M78" s="22"/>
      <c r="N78" s="22"/>
      <c r="S78" s="82" t="s">
        <v>82</v>
      </c>
      <c r="T78" s="83"/>
      <c r="U78" s="84"/>
      <c r="V78" s="103"/>
      <c r="W78" s="84"/>
      <c r="X78" s="85"/>
      <c r="Y78" s="86" t="s">
        <v>107</v>
      </c>
      <c r="AB78" s="112">
        <v>42887</v>
      </c>
    </row>
    <row r="79" spans="2:28">
      <c r="M79" s="22"/>
      <c r="N79" s="22"/>
      <c r="S79" s="89" t="s">
        <v>83</v>
      </c>
      <c r="T79" s="60" t="s">
        <v>80</v>
      </c>
      <c r="U79" s="61" t="s">
        <v>4</v>
      </c>
      <c r="V79" s="40">
        <v>20364</v>
      </c>
      <c r="W79" s="40"/>
      <c r="X79" s="69"/>
      <c r="Y79" s="79"/>
      <c r="AB79" s="96"/>
    </row>
    <row r="80" spans="2:28">
      <c r="M80" s="22"/>
      <c r="N80" s="22"/>
      <c r="S80" s="72"/>
      <c r="T80" s="61"/>
      <c r="U80" s="61" t="s">
        <v>5</v>
      </c>
      <c r="V80" s="40">
        <v>45238</v>
      </c>
      <c r="W80" s="40"/>
      <c r="X80" s="69"/>
      <c r="Y80" s="79"/>
      <c r="AB80" s="96"/>
    </row>
    <row r="81" spans="13:29">
      <c r="M81" s="22"/>
      <c r="N81" s="22"/>
      <c r="S81" s="72"/>
      <c r="T81" s="61"/>
      <c r="U81" s="61" t="s">
        <v>7</v>
      </c>
      <c r="V81" s="48">
        <v>47659</v>
      </c>
      <c r="W81" s="40">
        <f>SUM(V79:V81)</f>
        <v>113261</v>
      </c>
      <c r="X81" s="69"/>
      <c r="Y81" s="80">
        <f>+W81</f>
        <v>113261</v>
      </c>
      <c r="Z81" s="18"/>
      <c r="AB81" s="96"/>
    </row>
    <row r="82" spans="13:29">
      <c r="M82" s="22"/>
      <c r="N82" s="22"/>
      <c r="S82" s="72"/>
      <c r="T82" s="61" t="s">
        <v>158</v>
      </c>
      <c r="U82" s="61" t="s">
        <v>7</v>
      </c>
      <c r="V82" s="40"/>
      <c r="W82" s="40">
        <v>9143</v>
      </c>
      <c r="X82" s="69"/>
      <c r="Y82" s="80"/>
      <c r="Z82" s="18"/>
      <c r="AB82" s="96"/>
    </row>
    <row r="83" spans="13:29">
      <c r="M83" s="22"/>
      <c r="N83" s="22"/>
      <c r="S83" s="72"/>
      <c r="T83" s="61" t="s">
        <v>159</v>
      </c>
      <c r="U83" s="61" t="s">
        <v>7</v>
      </c>
      <c r="V83" s="40"/>
      <c r="W83" s="40">
        <v>2101</v>
      </c>
      <c r="X83" s="69"/>
      <c r="Y83" s="80"/>
      <c r="Z83" s="18"/>
      <c r="AB83" s="96"/>
    </row>
    <row r="84" spans="13:29">
      <c r="M84" s="22"/>
      <c r="N84" s="22"/>
      <c r="S84" s="72"/>
      <c r="T84" s="60" t="s">
        <v>116</v>
      </c>
      <c r="U84" s="61" t="s">
        <v>5</v>
      </c>
      <c r="V84" s="40"/>
      <c r="W84" s="40">
        <v>0</v>
      </c>
      <c r="X84" s="73"/>
      <c r="Y84" s="80">
        <f>+W84</f>
        <v>0</v>
      </c>
      <c r="Z84" s="18"/>
      <c r="AB84" s="96"/>
    </row>
    <row r="85" spans="13:29">
      <c r="M85" s="22"/>
      <c r="N85" s="22"/>
      <c r="P85" s="43"/>
      <c r="S85" s="70" t="s">
        <v>81</v>
      </c>
      <c r="T85" s="60"/>
      <c r="U85" s="61"/>
      <c r="V85" s="40"/>
      <c r="W85" s="40"/>
      <c r="X85" s="73"/>
      <c r="Y85" s="80"/>
      <c r="Z85" s="18"/>
      <c r="AB85" s="96"/>
    </row>
    <row r="86" spans="13:29">
      <c r="M86" s="22"/>
      <c r="N86" s="22"/>
      <c r="P86" s="43"/>
      <c r="S86" s="72"/>
      <c r="T86" s="60" t="s">
        <v>89</v>
      </c>
      <c r="U86" s="61" t="s">
        <v>4</v>
      </c>
      <c r="V86" s="40">
        <v>0</v>
      </c>
      <c r="W86" s="40"/>
      <c r="X86" s="73"/>
      <c r="Y86" s="80">
        <v>0</v>
      </c>
      <c r="Z86" s="93"/>
      <c r="AA86" s="94"/>
      <c r="AB86" s="110">
        <v>2579.9589999999998</v>
      </c>
      <c r="AC86" s="88" t="s">
        <v>98</v>
      </c>
    </row>
    <row r="87" spans="13:29">
      <c r="M87" s="22"/>
      <c r="N87" s="22"/>
      <c r="P87" s="43"/>
      <c r="S87" s="72"/>
      <c r="T87" s="60" t="s">
        <v>90</v>
      </c>
      <c r="U87" s="61" t="s">
        <v>5</v>
      </c>
      <c r="V87" s="48">
        <v>0</v>
      </c>
      <c r="W87" s="40">
        <f>+V86+V87</f>
        <v>0</v>
      </c>
      <c r="X87" s="73"/>
      <c r="Y87" s="80">
        <v>0</v>
      </c>
      <c r="AB87" s="96"/>
    </row>
    <row r="88" spans="13:29">
      <c r="M88" s="22"/>
      <c r="N88" s="22"/>
      <c r="P88" s="43"/>
      <c r="S88" s="60" t="s">
        <v>91</v>
      </c>
      <c r="T88" s="60"/>
      <c r="U88" s="61" t="s">
        <v>4</v>
      </c>
      <c r="V88" s="40"/>
      <c r="W88" s="48">
        <v>2025</v>
      </c>
      <c r="X88" s="71">
        <f>SUM(W81:W88)</f>
        <v>126530</v>
      </c>
      <c r="Y88" s="80">
        <f>+W88</f>
        <v>2025</v>
      </c>
      <c r="Z88" s="88" t="s">
        <v>63</v>
      </c>
      <c r="AB88" s="96"/>
    </row>
    <row r="89" spans="13:29">
      <c r="M89" s="51"/>
      <c r="N89" s="34"/>
      <c r="S89" s="90" t="s">
        <v>84</v>
      </c>
      <c r="T89" s="60"/>
      <c r="U89" s="61"/>
      <c r="V89" s="40"/>
      <c r="W89" s="40"/>
      <c r="X89" s="69"/>
      <c r="Y89" s="79"/>
      <c r="AB89" s="96"/>
    </row>
    <row r="90" spans="13:29">
      <c r="M90" s="51"/>
      <c r="N90" s="34"/>
      <c r="S90" s="87"/>
      <c r="T90" s="60" t="s">
        <v>93</v>
      </c>
      <c r="U90" s="61" t="s">
        <v>4</v>
      </c>
      <c r="V90" s="40"/>
      <c r="W90" s="40">
        <v>0</v>
      </c>
      <c r="X90" s="73"/>
      <c r="Y90" s="80">
        <f>+W90</f>
        <v>0</v>
      </c>
      <c r="AB90" s="96"/>
    </row>
    <row r="91" spans="13:29">
      <c r="M91" s="22"/>
      <c r="N91" s="107"/>
      <c r="S91" s="87"/>
      <c r="T91" s="60" t="s">
        <v>148</v>
      </c>
      <c r="U91" s="61" t="s">
        <v>4</v>
      </c>
      <c r="V91" s="40">
        <v>0</v>
      </c>
      <c r="W91" s="40"/>
      <c r="X91" s="69"/>
      <c r="Y91" s="80">
        <v>0</v>
      </c>
      <c r="AB91" s="96"/>
    </row>
    <row r="92" spans="13:29">
      <c r="M92" s="34"/>
      <c r="N92" s="34"/>
      <c r="S92" s="87"/>
      <c r="T92" s="60"/>
      <c r="U92" s="61" t="s">
        <v>5</v>
      </c>
      <c r="V92" s="48">
        <v>3541</v>
      </c>
      <c r="W92" s="40">
        <f>SUM(V91:V92)</f>
        <v>3541</v>
      </c>
      <c r="X92" s="69"/>
      <c r="Y92" s="80">
        <f>+W92</f>
        <v>3541</v>
      </c>
      <c r="AB92" s="96"/>
    </row>
    <row r="93" spans="13:29">
      <c r="S93" s="87"/>
      <c r="T93" s="60" t="s">
        <v>85</v>
      </c>
      <c r="U93" s="61"/>
      <c r="V93" s="40"/>
      <c r="W93" s="40"/>
      <c r="X93" s="69"/>
      <c r="Y93" s="79"/>
      <c r="AB93" s="96"/>
    </row>
    <row r="94" spans="13:29">
      <c r="S94" s="87"/>
      <c r="T94" s="60"/>
      <c r="U94" s="61" t="s">
        <v>4</v>
      </c>
      <c r="V94" s="40">
        <v>0</v>
      </c>
      <c r="W94" s="63"/>
      <c r="X94" s="69"/>
      <c r="Y94" s="79"/>
      <c r="AB94" s="96"/>
    </row>
    <row r="95" spans="13:29">
      <c r="S95" s="87"/>
      <c r="T95" s="60"/>
      <c r="U95" s="61" t="s">
        <v>5</v>
      </c>
      <c r="V95" s="40">
        <v>0</v>
      </c>
      <c r="W95" s="40"/>
      <c r="X95" s="69"/>
      <c r="Y95" s="80"/>
      <c r="AB95" s="96"/>
    </row>
    <row r="96" spans="13:29">
      <c r="S96" s="87"/>
      <c r="T96" s="60"/>
      <c r="U96" s="61" t="s">
        <v>7</v>
      </c>
      <c r="V96" s="48">
        <v>0</v>
      </c>
      <c r="W96" s="48">
        <f>SUM(V94:V96)</f>
        <v>0</v>
      </c>
      <c r="X96" s="74">
        <f>SUM(W90:W96)</f>
        <v>3541</v>
      </c>
      <c r="Y96" s="80">
        <f>+W96</f>
        <v>0</v>
      </c>
      <c r="AB96" s="96"/>
    </row>
    <row r="97" spans="19:29">
      <c r="S97" s="87"/>
      <c r="T97" s="60" t="s">
        <v>165</v>
      </c>
      <c r="U97" s="60"/>
      <c r="V97" s="63"/>
      <c r="W97" s="63"/>
      <c r="X97" s="73">
        <f>SUM(X88:X96)</f>
        <v>130071</v>
      </c>
      <c r="Y97" s="79"/>
      <c r="AB97" s="96"/>
    </row>
    <row r="98" spans="19:29">
      <c r="S98" s="90" t="s">
        <v>87</v>
      </c>
      <c r="T98" s="61"/>
      <c r="U98" s="61" t="s">
        <v>4</v>
      </c>
      <c r="V98" s="40"/>
      <c r="W98" s="40">
        <v>2263</v>
      </c>
      <c r="X98" s="69"/>
      <c r="Y98" s="79"/>
      <c r="AB98" s="96"/>
    </row>
    <row r="99" spans="19:29">
      <c r="S99" s="87"/>
      <c r="T99" s="61"/>
      <c r="U99" s="61" t="s">
        <v>5</v>
      </c>
      <c r="V99" s="40"/>
      <c r="W99" s="40">
        <v>2436</v>
      </c>
      <c r="X99" s="69"/>
      <c r="Y99" s="79"/>
      <c r="AB99" s="96"/>
    </row>
    <row r="100" spans="19:29">
      <c r="S100" s="87"/>
      <c r="T100" s="61"/>
      <c r="U100" s="61" t="s">
        <v>7</v>
      </c>
      <c r="V100" s="40"/>
      <c r="W100" s="48">
        <v>2508</v>
      </c>
      <c r="X100" s="74">
        <f>SUM(W98:W100)</f>
        <v>7207</v>
      </c>
      <c r="Y100" s="104"/>
      <c r="AB100" s="98"/>
    </row>
    <row r="101" spans="19:29">
      <c r="S101" s="90" t="s">
        <v>88</v>
      </c>
      <c r="T101" s="60"/>
      <c r="U101" s="61"/>
      <c r="V101" s="62"/>
      <c r="W101" s="68"/>
      <c r="X101" s="73">
        <f>+X97+X100</f>
        <v>137278</v>
      </c>
      <c r="Y101" s="80">
        <f>SUM(Y81:Y96)</f>
        <v>118827</v>
      </c>
      <c r="Z101" s="88" t="s">
        <v>161</v>
      </c>
      <c r="AB101" s="111">
        <f>SUM(AB81:AB100)</f>
        <v>2579.9589999999998</v>
      </c>
      <c r="AC101" s="88" t="s">
        <v>161</v>
      </c>
    </row>
    <row r="102" spans="19:29">
      <c r="S102" s="75"/>
      <c r="T102" s="76"/>
      <c r="U102" s="76"/>
      <c r="V102" s="76"/>
      <c r="W102" s="77"/>
      <c r="X102" s="78"/>
      <c r="Y102" s="81"/>
      <c r="AB102" s="98"/>
    </row>
    <row r="103" spans="19:29">
      <c r="Y103" s="19"/>
      <c r="AB103" s="43">
        <f>+(Y101+AB101)*1000</f>
        <v>121406959</v>
      </c>
      <c r="AC103" t="s">
        <v>162</v>
      </c>
    </row>
    <row r="104" spans="19:29">
      <c r="X104" s="18"/>
      <c r="Y104" s="43"/>
      <c r="AB104" s="18"/>
    </row>
    <row r="105" spans="19:29">
      <c r="X105" s="18"/>
      <c r="Y105" s="43"/>
    </row>
    <row r="106" spans="19:29">
      <c r="X106" s="18"/>
      <c r="Y106" s="19"/>
    </row>
    <row r="108" spans="19:29">
      <c r="X108" s="18"/>
    </row>
  </sheetData>
  <mergeCells count="12">
    <mergeCell ref="AB12:AF12"/>
    <mergeCell ref="Z36:AA36"/>
    <mergeCell ref="A2:R2"/>
    <mergeCell ref="A3:R3"/>
    <mergeCell ref="G12:K12"/>
    <mergeCell ref="L12:V12"/>
    <mergeCell ref="X12:AA12"/>
    <mergeCell ref="A13:F13"/>
    <mergeCell ref="L13:P13"/>
    <mergeCell ref="Q13:U13"/>
    <mergeCell ref="A15:F15"/>
    <mergeCell ref="W36:Y36"/>
  </mergeCells>
  <printOptions horizontalCentered="1"/>
  <pageMargins left="0" right="0" top="0.19" bottom="0" header="0.17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13"/>
  <sheetViews>
    <sheetView workbookViewId="0">
      <selection activeCell="O4" sqref="O4"/>
    </sheetView>
  </sheetViews>
  <sheetFormatPr defaultRowHeight="15"/>
  <cols>
    <col min="1" max="1" width="1.28515625" customWidth="1"/>
    <col min="2" max="3" width="5.140625" customWidth="1"/>
    <col min="4" max="4" width="34" customWidth="1"/>
    <col min="5" max="5" width="1.28515625" customWidth="1"/>
    <col min="6" max="6" width="8.42578125" customWidth="1"/>
    <col min="7" max="7" width="12.7109375" customWidth="1"/>
    <col min="8" max="8" width="13.5703125" customWidth="1"/>
    <col min="9" max="9" width="16.85546875" customWidth="1"/>
    <col min="10" max="10" width="12.5703125" customWidth="1"/>
    <col min="11" max="11" width="13.140625" customWidth="1"/>
    <col min="12" max="12" width="14.42578125" customWidth="1"/>
    <col min="13" max="13" width="12.85546875" customWidth="1"/>
    <col min="14" max="14" width="14" customWidth="1"/>
    <col min="15" max="15" width="16.140625" customWidth="1"/>
    <col min="16" max="16" width="14.140625" customWidth="1"/>
    <col min="17" max="17" width="14.7109375" customWidth="1"/>
    <col min="18" max="18" width="12" customWidth="1"/>
    <col min="19" max="19" width="7.85546875" customWidth="1"/>
    <col min="20" max="20" width="14" customWidth="1"/>
    <col min="21" max="22" width="12" customWidth="1"/>
    <col min="23" max="23" width="13.28515625" customWidth="1"/>
    <col min="24" max="24" width="10" customWidth="1"/>
    <col min="25" max="25" width="14.7109375" customWidth="1"/>
    <col min="26" max="26" width="8.28515625" customWidth="1"/>
    <col min="27" max="27" width="8.85546875" customWidth="1"/>
    <col min="28" max="28" width="13.28515625" customWidth="1"/>
    <col min="29" max="29" width="13.5703125" customWidth="1"/>
    <col min="30" max="30" width="8.140625" customWidth="1"/>
    <col min="31" max="31" width="12" customWidth="1"/>
    <col min="32" max="32" width="13.28515625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4" ht="8.25" customHeight="1">
      <c r="AG1" s="19" t="s">
        <v>51</v>
      </c>
    </row>
    <row r="2" spans="1:34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4" ht="15.75">
      <c r="A3" s="186" t="s">
        <v>176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ht="4.5" customHeight="1"/>
    <row r="5" spans="1:34">
      <c r="A5" t="s">
        <v>0</v>
      </c>
      <c r="E5" t="s">
        <v>52</v>
      </c>
      <c r="F5" s="29" t="s">
        <v>58</v>
      </c>
    </row>
    <row r="6" spans="1:34">
      <c r="A6" t="s">
        <v>1</v>
      </c>
      <c r="E6" t="s">
        <v>52</v>
      </c>
      <c r="F6" t="s">
        <v>55</v>
      </c>
    </row>
    <row r="7" spans="1:34">
      <c r="A7" t="s">
        <v>2</v>
      </c>
      <c r="E7" t="s">
        <v>52</v>
      </c>
      <c r="H7" s="18"/>
    </row>
    <row r="8" spans="1:34">
      <c r="A8" t="s">
        <v>3</v>
      </c>
      <c r="E8" t="s">
        <v>52</v>
      </c>
      <c r="F8" s="36" t="s">
        <v>59</v>
      </c>
    </row>
    <row r="9" spans="1:34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4" ht="7.5" customHeight="1">
      <c r="M10" s="18"/>
    </row>
    <row r="11" spans="1:34" ht="6.75" customHeight="1"/>
    <row r="12" spans="1:34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4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  <c r="AH13" s="18">
        <f>+AH14-554289.96</f>
        <v>25189778.199999996</v>
      </c>
    </row>
    <row r="14" spans="1:34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  <c r="AH14" s="18">
        <f>+AF18+AF19</f>
        <v>25744068.159999996</v>
      </c>
    </row>
    <row r="15" spans="1:34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4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8"/>
    </row>
    <row r="18" spans="1:37">
      <c r="A18" s="3"/>
      <c r="B18" s="16"/>
      <c r="C18" s="16"/>
      <c r="D18" s="16" t="s">
        <v>26</v>
      </c>
      <c r="E18" s="16"/>
      <c r="F18" s="4"/>
      <c r="G18" s="42">
        <f>647855.16+554289.96</f>
        <v>1202145.1200000001</v>
      </c>
      <c r="H18" s="102">
        <f>4593921.63-2329.06-10762.5</f>
        <v>4580830.07</v>
      </c>
      <c r="I18" s="32">
        <v>0</v>
      </c>
      <c r="J18" s="32">
        <v>0</v>
      </c>
      <c r="K18" s="32">
        <f>SUM(G18:J18)</f>
        <v>5782975.1900000004</v>
      </c>
      <c r="L18" s="42">
        <v>0</v>
      </c>
      <c r="M18" s="42">
        <v>2521177.52</v>
      </c>
      <c r="N18" s="42">
        <v>0</v>
      </c>
      <c r="O18" s="42">
        <v>0</v>
      </c>
      <c r="P18" s="32">
        <f>SUM(L18:O18)</f>
        <v>2521177.52</v>
      </c>
      <c r="Q18" s="32">
        <v>0</v>
      </c>
      <c r="R18" s="32">
        <v>4616618.26</v>
      </c>
      <c r="S18" s="32">
        <v>0</v>
      </c>
      <c r="T18" s="32">
        <v>1109728.1599999999</v>
      </c>
      <c r="U18" s="32">
        <f>SUM(Q18:T18)</f>
        <v>5726346.4199999999</v>
      </c>
      <c r="V18" s="32">
        <f>+P18+U18</f>
        <v>8247523.9399999995</v>
      </c>
      <c r="W18" s="32">
        <f>+K18+V18</f>
        <v>14030499.129999999</v>
      </c>
      <c r="X18" s="32"/>
      <c r="Y18" s="32"/>
      <c r="Z18" s="32"/>
      <c r="AA18" s="32">
        <f>SUM(X18:Z18)</f>
        <v>0</v>
      </c>
      <c r="AB18" s="32">
        <f>+G18+L18+Q18+X18</f>
        <v>1202145.1200000001</v>
      </c>
      <c r="AC18" s="42">
        <f>+H18+M18+R18+Y18</f>
        <v>11718625.85</v>
      </c>
      <c r="AD18" s="32">
        <f>+I18+N18+S18</f>
        <v>0</v>
      </c>
      <c r="AE18" s="32">
        <f>+J18+O18+T18+Z18</f>
        <v>1109728.1599999999</v>
      </c>
      <c r="AF18" s="32">
        <f>SUM(AB18:AE18)</f>
        <v>14030499.129999999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4405107.5599999996</v>
      </c>
      <c r="H19" s="32">
        <v>7027427.7300000004</v>
      </c>
      <c r="I19" s="32">
        <v>0</v>
      </c>
      <c r="J19" s="32">
        <v>51722.32</v>
      </c>
      <c r="K19" s="32">
        <f t="shared" ref="K19:K29" si="0">SUM(G19:J19)</f>
        <v>11484257.609999999</v>
      </c>
      <c r="L19" s="32">
        <v>0</v>
      </c>
      <c r="M19" s="32">
        <v>141745.79</v>
      </c>
      <c r="N19" s="32">
        <v>0</v>
      </c>
      <c r="O19" s="32">
        <v>33030.35</v>
      </c>
      <c r="P19" s="32">
        <f t="shared" ref="P19:P29" si="1">SUM(L19:O19)</f>
        <v>174776.14</v>
      </c>
      <c r="Q19" s="32">
        <v>0</v>
      </c>
      <c r="R19" s="32">
        <v>54535.28</v>
      </c>
      <c r="S19" s="32">
        <v>0</v>
      </c>
      <c r="T19" s="32">
        <v>0</v>
      </c>
      <c r="U19" s="32">
        <f t="shared" ref="U19:U29" si="2">SUM(Q19:T19)</f>
        <v>54535.28</v>
      </c>
      <c r="V19" s="32">
        <f t="shared" ref="V19:V29" si="3">+P19+U19</f>
        <v>229311.42</v>
      </c>
      <c r="W19" s="32">
        <f t="shared" ref="W19:W29" si="4">+K19+V19</f>
        <v>11713569.029999999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4405107.5599999996</v>
      </c>
      <c r="AC19" s="32">
        <f t="shared" si="6"/>
        <v>7223708.8000000007</v>
      </c>
      <c r="AD19" s="32">
        <f t="shared" ref="AD19:AD29" si="7">+I19+N19+S19</f>
        <v>0</v>
      </c>
      <c r="AE19" s="32">
        <f t="shared" ref="AE19:AE29" si="8">+J19+O19+T19+Z19</f>
        <v>84752.67</v>
      </c>
      <c r="AF19" s="32">
        <f t="shared" ref="AF19:AF29" si="9">SUM(AB19:AE19)</f>
        <v>11713569.029999999</v>
      </c>
      <c r="AG19" s="10"/>
      <c r="AH19" s="18">
        <f t="shared" ref="AH19:AH29" si="10">+W19+AA19-AF19</f>
        <v>0</v>
      </c>
      <c r="AJ19" s="66">
        <f>+AF18+AF19</f>
        <v>25744068.159999996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3316557.14</v>
      </c>
      <c r="H23" s="42">
        <v>1011371.95</v>
      </c>
      <c r="I23" s="42">
        <v>0</v>
      </c>
      <c r="J23" s="42">
        <v>190262.91</v>
      </c>
      <c r="K23" s="42">
        <f t="shared" si="0"/>
        <v>4518192</v>
      </c>
      <c r="L23" s="42">
        <v>0</v>
      </c>
      <c r="M23" s="42">
        <v>73078.539999999994</v>
      </c>
      <c r="N23" s="42">
        <v>0</v>
      </c>
      <c r="O23" s="42">
        <v>64920.73</v>
      </c>
      <c r="P23" s="42">
        <f t="shared" si="1"/>
        <v>137999.26999999999</v>
      </c>
      <c r="Q23" s="42">
        <v>0</v>
      </c>
      <c r="R23" s="42">
        <v>209427.14</v>
      </c>
      <c r="S23" s="42">
        <v>0</v>
      </c>
      <c r="T23" s="42">
        <v>224538.42</v>
      </c>
      <c r="U23" s="42">
        <f t="shared" si="2"/>
        <v>433965.56000000006</v>
      </c>
      <c r="V23" s="42">
        <f t="shared" si="3"/>
        <v>571964.83000000007</v>
      </c>
      <c r="W23" s="42">
        <f t="shared" si="4"/>
        <v>5090156.83</v>
      </c>
      <c r="X23" s="42"/>
      <c r="Y23" s="42"/>
      <c r="Z23" s="42"/>
      <c r="AA23" s="42">
        <f t="shared" si="5"/>
        <v>0</v>
      </c>
      <c r="AB23" s="42">
        <f t="shared" si="6"/>
        <v>3316557.14</v>
      </c>
      <c r="AC23" s="42">
        <f t="shared" si="6"/>
        <v>1293877.6299999999</v>
      </c>
      <c r="AD23" s="42">
        <f t="shared" si="7"/>
        <v>0</v>
      </c>
      <c r="AE23" s="42">
        <f t="shared" si="8"/>
        <v>479722.06000000006</v>
      </c>
      <c r="AF23" s="42">
        <f t="shared" si="9"/>
        <v>5090156.83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25744068.159999996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8923809.8200000003</v>
      </c>
      <c r="H31" s="33">
        <f t="shared" ref="H31:AH31" si="11">SUM(H18:H29)</f>
        <v>12619629.75</v>
      </c>
      <c r="I31" s="33">
        <f t="shared" si="11"/>
        <v>0</v>
      </c>
      <c r="J31" s="33">
        <f t="shared" si="11"/>
        <v>241985.23</v>
      </c>
      <c r="K31" s="33">
        <f t="shared" si="11"/>
        <v>21785424.800000001</v>
      </c>
      <c r="L31" s="33">
        <f t="shared" si="11"/>
        <v>0</v>
      </c>
      <c r="M31" s="33">
        <f t="shared" si="11"/>
        <v>2736001.85</v>
      </c>
      <c r="N31" s="33">
        <f t="shared" si="11"/>
        <v>0</v>
      </c>
      <c r="O31" s="33">
        <f t="shared" si="11"/>
        <v>97951.08</v>
      </c>
      <c r="P31" s="33">
        <f t="shared" si="11"/>
        <v>2833952.93</v>
      </c>
      <c r="Q31" s="33">
        <f t="shared" si="11"/>
        <v>0</v>
      </c>
      <c r="R31" s="33">
        <f t="shared" si="11"/>
        <v>4880580.68</v>
      </c>
      <c r="S31" s="33">
        <f t="shared" si="11"/>
        <v>0</v>
      </c>
      <c r="T31" s="33">
        <f t="shared" si="11"/>
        <v>1334266.5799999998</v>
      </c>
      <c r="U31" s="33">
        <f t="shared" si="11"/>
        <v>6214847.2599999998</v>
      </c>
      <c r="V31" s="33">
        <f t="shared" si="11"/>
        <v>9048800.1899999995</v>
      </c>
      <c r="W31" s="33">
        <f t="shared" si="11"/>
        <v>30834224.989999995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8923809.8200000003</v>
      </c>
      <c r="AC31" s="33">
        <f t="shared" si="11"/>
        <v>20236212.279999997</v>
      </c>
      <c r="AD31" s="33">
        <f t="shared" si="11"/>
        <v>0</v>
      </c>
      <c r="AE31" s="33">
        <f t="shared" si="11"/>
        <v>1674202.89</v>
      </c>
      <c r="AF31" s="33">
        <f t="shared" si="11"/>
        <v>30834224.989999995</v>
      </c>
      <c r="AG31" s="27">
        <f t="shared" si="11"/>
        <v>0</v>
      </c>
      <c r="AH31" s="17">
        <f t="shared" si="11"/>
        <v>0</v>
      </c>
      <c r="AJ31" s="18">
        <f>+AF18+AF19</f>
        <v>25744068.159999996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5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ht="6.75" customHeight="1">
      <c r="B34" s="136"/>
    </row>
    <row r="35" spans="1:34" ht="10.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  <c r="AF35" s="43"/>
    </row>
    <row r="36" spans="1:34">
      <c r="A36" s="3"/>
      <c r="B36" s="28" t="s">
        <v>33</v>
      </c>
      <c r="C36" s="28"/>
      <c r="D36" s="16"/>
      <c r="E36" s="16"/>
      <c r="F36" s="16"/>
      <c r="G36" s="116" t="s">
        <v>190</v>
      </c>
      <c r="H36" s="116"/>
      <c r="I36" s="116"/>
      <c r="J36" s="134"/>
      <c r="K36" s="116" t="s">
        <v>166</v>
      </c>
      <c r="L36" s="116"/>
      <c r="M36" s="16"/>
      <c r="N36" s="137" t="s">
        <v>175</v>
      </c>
      <c r="P36" s="22"/>
      <c r="Q36" s="59"/>
      <c r="T36" s="16"/>
      <c r="U36" s="16"/>
      <c r="V36" s="16"/>
      <c r="W36" s="176"/>
      <c r="X36" s="176"/>
      <c r="Y36" s="176"/>
      <c r="Z36" s="179"/>
      <c r="AA36" s="179"/>
      <c r="AB36" s="16"/>
      <c r="AC36" s="16"/>
      <c r="AE36" s="18"/>
    </row>
    <row r="37" spans="1:34" ht="18.75">
      <c r="A37" s="3"/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/>
      <c r="O37" s="16"/>
      <c r="P37" s="22"/>
      <c r="Q37" s="22"/>
      <c r="T37" s="16"/>
      <c r="U37" s="16"/>
      <c r="V37" s="16"/>
      <c r="W37" s="106"/>
      <c r="X37" s="22"/>
      <c r="Y37" s="22"/>
      <c r="Z37" s="22"/>
      <c r="AA37" s="22"/>
      <c r="AB37" s="22"/>
      <c r="AC37" s="22"/>
      <c r="AD37" s="43"/>
      <c r="AH37" s="18"/>
    </row>
    <row r="38" spans="1:34">
      <c r="A38" s="3"/>
      <c r="B38" s="16"/>
      <c r="C38" s="16"/>
      <c r="D38" s="16" t="s">
        <v>103</v>
      </c>
      <c r="E38" s="16"/>
      <c r="F38" s="16"/>
      <c r="G38" s="25"/>
      <c r="H38" s="22">
        <f>SUM(G39:G47)</f>
        <v>727053240</v>
      </c>
      <c r="I38" s="22"/>
      <c r="J38" s="22"/>
      <c r="K38" s="59">
        <f>SUM(J39:J47)</f>
        <v>81384000</v>
      </c>
      <c r="L38" s="22"/>
      <c r="M38" s="22"/>
      <c r="N38" s="120">
        <f>SUM(M39:M47)</f>
        <v>808437240</v>
      </c>
      <c r="O38" s="22"/>
      <c r="P38" s="22"/>
      <c r="Q38" s="22"/>
      <c r="R38" s="43"/>
      <c r="T38" s="16"/>
      <c r="U38" s="16"/>
      <c r="V38" s="16"/>
      <c r="W38" s="25"/>
      <c r="X38" s="22"/>
      <c r="Y38" s="22"/>
      <c r="Z38" s="22"/>
      <c r="AA38" s="22"/>
      <c r="AB38" s="22"/>
      <c r="AC38" s="22"/>
      <c r="AD38" s="43"/>
      <c r="AH38">
        <v>81384000</v>
      </c>
    </row>
    <row r="39" spans="1:34">
      <c r="A39" s="3"/>
      <c r="B39" s="16"/>
      <c r="C39" s="16"/>
      <c r="D39" s="121" t="s">
        <v>97</v>
      </c>
      <c r="E39" s="16"/>
      <c r="F39" s="16"/>
      <c r="G39" s="22">
        <v>711376000</v>
      </c>
      <c r="H39" s="22"/>
      <c r="I39" s="22"/>
      <c r="J39" s="40">
        <v>0</v>
      </c>
      <c r="K39" s="22"/>
      <c r="L39" s="22"/>
      <c r="M39" s="22">
        <f>89000000+93488000+163160000+120179000+128747000+116802000</f>
        <v>711376000</v>
      </c>
      <c r="N39" s="122"/>
      <c r="O39" s="22"/>
      <c r="P39" s="22"/>
      <c r="Q39" s="22"/>
      <c r="T39" s="16"/>
      <c r="U39" s="16"/>
      <c r="V39" s="16"/>
      <c r="W39" s="25"/>
      <c r="X39" s="51"/>
      <c r="Y39" s="51"/>
      <c r="Z39" s="51"/>
      <c r="AA39" s="51"/>
      <c r="AB39" s="51"/>
      <c r="AC39" s="51"/>
      <c r="AD39" s="19"/>
      <c r="AH39" s="18">
        <f>+AH38-AH13</f>
        <v>56194221.800000004</v>
      </c>
    </row>
    <row r="40" spans="1:34">
      <c r="A40" s="3"/>
      <c r="B40" s="16"/>
      <c r="C40" s="16"/>
      <c r="D40" s="121" t="s">
        <v>100</v>
      </c>
      <c r="E40" s="16"/>
      <c r="F40" s="16"/>
      <c r="G40" s="22">
        <v>12152000</v>
      </c>
      <c r="H40" s="22"/>
      <c r="I40" s="22"/>
      <c r="J40" s="22">
        <v>0</v>
      </c>
      <c r="K40" s="22"/>
      <c r="L40" s="22"/>
      <c r="M40" s="22">
        <f>2026000+2025000+2025000+2026000+2025000+2025000</f>
        <v>12152000</v>
      </c>
      <c r="N40" s="122"/>
      <c r="O40" s="22"/>
      <c r="P40" s="22"/>
      <c r="Q40" s="22"/>
      <c r="T40" t="s">
        <v>44</v>
      </c>
      <c r="V40" s="20"/>
      <c r="W40" s="20"/>
      <c r="X40" s="20"/>
      <c r="Y40" s="20"/>
      <c r="Z40" t="s">
        <v>47</v>
      </c>
      <c r="AA40" s="20"/>
      <c r="AB40" s="51"/>
      <c r="AC40" s="51"/>
      <c r="AD40" s="19"/>
    </row>
    <row r="41" spans="1:34">
      <c r="A41" s="3"/>
      <c r="B41" s="16"/>
      <c r="C41" s="16"/>
      <c r="D41" s="121" t="s">
        <v>167</v>
      </c>
      <c r="E41" s="16"/>
      <c r="F41" s="16"/>
      <c r="G41" s="22">
        <v>0</v>
      </c>
      <c r="H41" s="22"/>
      <c r="I41" s="22"/>
      <c r="J41" s="22">
        <v>79358000</v>
      </c>
      <c r="K41" s="22"/>
      <c r="L41" s="22"/>
      <c r="M41" s="22">
        <v>79358000</v>
      </c>
      <c r="N41" s="122"/>
      <c r="O41" s="22"/>
      <c r="P41" s="22"/>
      <c r="Q41" s="22"/>
      <c r="V41" s="20"/>
      <c r="W41" s="20"/>
      <c r="X41" s="20"/>
      <c r="Y41" s="20"/>
      <c r="AA41" s="20"/>
      <c r="AB41" s="51"/>
      <c r="AC41" s="51"/>
      <c r="AD41" s="19"/>
    </row>
    <row r="42" spans="1:34">
      <c r="A42" s="3"/>
      <c r="B42" s="16"/>
      <c r="C42" s="16"/>
      <c r="D42" s="121" t="s">
        <v>168</v>
      </c>
      <c r="E42" s="16"/>
      <c r="F42" s="16"/>
      <c r="G42" s="22">
        <v>0</v>
      </c>
      <c r="H42" s="22"/>
      <c r="I42" s="22"/>
      <c r="J42" s="22">
        <v>2026000</v>
      </c>
      <c r="K42" s="22"/>
      <c r="L42" s="22"/>
      <c r="M42" s="22">
        <v>2026000</v>
      </c>
      <c r="N42" s="122"/>
      <c r="O42" s="22"/>
      <c r="P42" s="22"/>
      <c r="Q42" s="22"/>
      <c r="V42" s="20"/>
      <c r="W42" s="20"/>
      <c r="X42" s="20"/>
      <c r="Y42" s="20"/>
      <c r="AA42" s="20"/>
      <c r="AB42" s="51"/>
      <c r="AC42" s="51"/>
      <c r="AD42" s="19"/>
    </row>
    <row r="43" spans="1:34">
      <c r="A43" s="3"/>
      <c r="B43" s="16"/>
      <c r="C43" s="16"/>
      <c r="D43" s="16" t="s">
        <v>104</v>
      </c>
      <c r="E43" s="16"/>
      <c r="F43" s="16"/>
      <c r="G43" s="22"/>
      <c r="H43" s="22"/>
      <c r="I43" s="22"/>
      <c r="J43" s="22">
        <v>0</v>
      </c>
      <c r="K43" s="22"/>
      <c r="L43" s="22"/>
      <c r="M43" s="22"/>
      <c r="N43" s="122"/>
      <c r="O43" s="22"/>
      <c r="P43" s="22"/>
      <c r="Q43" s="22"/>
      <c r="V43" s="20"/>
      <c r="W43" s="20"/>
      <c r="X43" s="20"/>
      <c r="Y43" s="20"/>
      <c r="AA43" s="20"/>
      <c r="AB43" s="31"/>
      <c r="AC43" s="51"/>
      <c r="AD43" s="19"/>
    </row>
    <row r="44" spans="1:34">
      <c r="A44" s="3"/>
      <c r="B44" s="16"/>
      <c r="C44" s="16"/>
      <c r="D44" s="121" t="s">
        <v>105</v>
      </c>
      <c r="E44" s="16"/>
      <c r="F44" s="16"/>
      <c r="G44" s="22">
        <f>94823+94698</f>
        <v>189521</v>
      </c>
      <c r="H44" s="22"/>
      <c r="I44" s="22"/>
      <c r="J44" s="22">
        <v>0</v>
      </c>
      <c r="K44" s="22"/>
      <c r="L44" s="22"/>
      <c r="M44" s="22">
        <f>94823+94698</f>
        <v>189521</v>
      </c>
      <c r="N44" s="122"/>
      <c r="O44" s="22"/>
      <c r="P44" s="22"/>
      <c r="Q44" s="22"/>
      <c r="T44" s="38" t="s">
        <v>49</v>
      </c>
      <c r="Z44" s="38" t="s">
        <v>72</v>
      </c>
      <c r="AB44" s="31"/>
      <c r="AC44" s="51"/>
      <c r="AD44" s="19"/>
    </row>
    <row r="45" spans="1:34">
      <c r="A45" s="3"/>
      <c r="B45" s="16"/>
      <c r="C45" s="16"/>
      <c r="D45" s="121" t="s">
        <v>129</v>
      </c>
      <c r="E45" s="16"/>
      <c r="F45" s="16"/>
      <c r="G45" s="22">
        <v>85598</v>
      </c>
      <c r="H45" s="22"/>
      <c r="I45" s="22"/>
      <c r="J45" s="22">
        <v>0</v>
      </c>
      <c r="K45" s="22"/>
      <c r="L45" s="22"/>
      <c r="M45" s="22">
        <v>85598</v>
      </c>
      <c r="N45" s="122"/>
      <c r="O45" s="22"/>
      <c r="P45" s="22"/>
      <c r="Q45" s="22"/>
      <c r="T45" t="s">
        <v>46</v>
      </c>
      <c r="Z45" t="s">
        <v>71</v>
      </c>
      <c r="AB45" s="31"/>
      <c r="AC45" s="51"/>
      <c r="AD45" s="19"/>
    </row>
    <row r="46" spans="1:34">
      <c r="A46" s="3"/>
      <c r="B46" s="16"/>
      <c r="C46" s="16"/>
      <c r="D46" s="121" t="s">
        <v>130</v>
      </c>
      <c r="E46" s="16"/>
      <c r="F46" s="16"/>
      <c r="G46" s="22">
        <v>670162</v>
      </c>
      <c r="H46" s="22"/>
      <c r="I46" s="22"/>
      <c r="J46" s="22">
        <v>0</v>
      </c>
      <c r="K46" s="22"/>
      <c r="L46" s="22"/>
      <c r="M46" s="22">
        <v>670162</v>
      </c>
      <c r="N46" s="122"/>
      <c r="O46" s="22"/>
      <c r="P46" s="22"/>
      <c r="Q46" s="22"/>
      <c r="T46" t="s">
        <v>45</v>
      </c>
      <c r="Z46" t="s">
        <v>48</v>
      </c>
      <c r="AB46" s="31"/>
      <c r="AC46" s="51"/>
      <c r="AD46" s="19"/>
    </row>
    <row r="47" spans="1:34">
      <c r="A47" s="3"/>
      <c r="B47" s="16"/>
      <c r="C47" s="16"/>
      <c r="D47" s="121" t="s">
        <v>155</v>
      </c>
      <c r="E47" s="16"/>
      <c r="F47" s="16"/>
      <c r="G47" s="21">
        <v>2579959</v>
      </c>
      <c r="H47" s="22"/>
      <c r="I47" s="22"/>
      <c r="J47" s="21">
        <v>0</v>
      </c>
      <c r="K47" s="22"/>
      <c r="L47" s="22"/>
      <c r="M47" s="21">
        <v>2579959</v>
      </c>
      <c r="N47" s="122"/>
      <c r="O47" s="22"/>
      <c r="P47" s="22"/>
      <c r="Q47" s="22"/>
      <c r="AB47" s="31"/>
      <c r="AC47" s="51"/>
      <c r="AD47" s="19"/>
    </row>
    <row r="48" spans="1:34">
      <c r="A48" s="3"/>
      <c r="B48" s="16"/>
      <c r="C48" s="16"/>
      <c r="D48" s="16" t="s">
        <v>35</v>
      </c>
      <c r="E48" s="16"/>
      <c r="F48" s="16"/>
      <c r="G48" s="22"/>
      <c r="H48" s="22">
        <v>0</v>
      </c>
      <c r="I48" s="22"/>
      <c r="J48" s="22"/>
      <c r="K48" s="22">
        <v>0</v>
      </c>
      <c r="L48" s="22"/>
      <c r="M48" s="22"/>
      <c r="N48" s="122"/>
      <c r="O48" s="22"/>
      <c r="P48" s="22"/>
      <c r="Q48" s="22"/>
      <c r="Z48" t="s">
        <v>45</v>
      </c>
      <c r="AB48" s="31"/>
      <c r="AC48" s="22"/>
      <c r="AD48" s="25"/>
      <c r="AE48" s="16"/>
      <c r="AF48" s="16"/>
    </row>
    <row r="49" spans="1:32">
      <c r="A49" s="3"/>
      <c r="B49" s="16"/>
      <c r="C49" s="16"/>
      <c r="D49" s="16" t="s">
        <v>36</v>
      </c>
      <c r="E49" s="16"/>
      <c r="F49" s="16"/>
      <c r="G49" s="25"/>
      <c r="H49" s="22">
        <f>21817245.73+6579604.91+4439371.24</f>
        <v>32836221.880000003</v>
      </c>
      <c r="I49" s="22"/>
      <c r="J49" s="22"/>
      <c r="K49" s="59">
        <f>+AF23</f>
        <v>5090156.83</v>
      </c>
      <c r="L49" s="22"/>
      <c r="M49" s="22"/>
      <c r="N49" s="122">
        <f>6514818+3759574.58+7395098.56+4147754.59+6579604.91+4439371.24+5090156.83</f>
        <v>37926378.710000001</v>
      </c>
      <c r="O49" s="22"/>
      <c r="P49" s="22"/>
      <c r="Q49" s="22"/>
      <c r="R49" s="18"/>
      <c r="W49" s="19"/>
      <c r="X49" s="51"/>
      <c r="Y49" s="31"/>
      <c r="Z49" s="31"/>
      <c r="AA49" s="51"/>
      <c r="AB49" s="31"/>
      <c r="AC49" s="51"/>
      <c r="AD49" s="25"/>
      <c r="AE49" s="16"/>
      <c r="AF49" s="16"/>
    </row>
    <row r="50" spans="1:32">
      <c r="A50" s="3"/>
      <c r="B50" s="16"/>
      <c r="C50" s="16"/>
      <c r="D50" s="16" t="s">
        <v>37</v>
      </c>
      <c r="E50" s="16"/>
      <c r="F50" s="16"/>
      <c r="G50" s="25"/>
      <c r="H50" s="22">
        <v>0</v>
      </c>
      <c r="I50" s="22"/>
      <c r="J50" s="22"/>
      <c r="K50" s="22">
        <v>0</v>
      </c>
      <c r="L50" s="22"/>
      <c r="M50" s="22"/>
      <c r="N50" s="122"/>
      <c r="O50" s="22"/>
      <c r="P50" s="22"/>
      <c r="Q50" s="22"/>
      <c r="W50" s="19"/>
      <c r="X50" s="22"/>
      <c r="Y50" s="20"/>
      <c r="Z50" s="20"/>
      <c r="AA50" s="20"/>
      <c r="AB50" s="20"/>
      <c r="AC50" s="22"/>
      <c r="AD50" s="25"/>
      <c r="AE50" s="16"/>
      <c r="AF50" s="16"/>
    </row>
    <row r="51" spans="1:32" ht="14.25" customHeight="1">
      <c r="A51" s="3"/>
      <c r="B51" s="16"/>
      <c r="C51" s="16"/>
      <c r="D51" s="16" t="s">
        <v>38</v>
      </c>
      <c r="E51" s="16"/>
      <c r="F51" s="16"/>
      <c r="G51" s="25"/>
      <c r="H51" s="22">
        <v>0</v>
      </c>
      <c r="I51" s="22"/>
      <c r="J51" s="22"/>
      <c r="K51" s="22">
        <v>0</v>
      </c>
      <c r="L51" s="22"/>
      <c r="M51" s="22"/>
      <c r="N51" s="122"/>
      <c r="O51" s="22"/>
      <c r="P51" s="22"/>
      <c r="Q51" s="22"/>
      <c r="S51" s="39"/>
      <c r="T51" s="39"/>
      <c r="W51" s="19"/>
      <c r="X51" s="22"/>
      <c r="Y51" s="20"/>
      <c r="Z51" s="20"/>
      <c r="AA51" s="20"/>
      <c r="AB51" s="20"/>
      <c r="AC51" s="22"/>
      <c r="AD51" s="25"/>
      <c r="AE51" s="16"/>
      <c r="AF51" s="16"/>
    </row>
    <row r="52" spans="1:32" ht="13.5" customHeight="1">
      <c r="A52" s="3"/>
      <c r="B52" s="16"/>
      <c r="C52" s="16"/>
      <c r="D52" s="15" t="s">
        <v>39</v>
      </c>
      <c r="E52" s="16"/>
      <c r="F52" s="16"/>
      <c r="G52" s="25"/>
      <c r="H52" s="21">
        <v>0</v>
      </c>
      <c r="I52" s="22"/>
      <c r="J52" s="22"/>
      <c r="K52" s="21">
        <v>0</v>
      </c>
      <c r="L52" s="22"/>
      <c r="M52" s="22"/>
      <c r="N52" s="123"/>
      <c r="O52" s="22"/>
      <c r="P52" s="22"/>
      <c r="Q52" s="22"/>
      <c r="S52" s="39"/>
      <c r="T52" s="39"/>
      <c r="W52" s="19"/>
      <c r="X52" s="22"/>
      <c r="Y52" s="20"/>
      <c r="Z52" s="20"/>
      <c r="AA52" s="20"/>
      <c r="AB52" s="20"/>
      <c r="AC52" s="22"/>
      <c r="AD52" s="25"/>
      <c r="AE52" s="16"/>
      <c r="AF52" s="16"/>
    </row>
    <row r="53" spans="1:32" ht="13.5" customHeight="1">
      <c r="A53" s="3"/>
      <c r="B53" s="16"/>
      <c r="C53" s="16"/>
      <c r="D53" s="16" t="s">
        <v>57</v>
      </c>
      <c r="E53" s="16"/>
      <c r="F53" s="16"/>
      <c r="G53" s="25"/>
      <c r="H53" s="22">
        <f>SUM(H38:H52)</f>
        <v>759889461.88</v>
      </c>
      <c r="I53" s="22"/>
      <c r="J53" s="22"/>
      <c r="K53" s="22">
        <f>SUM(K38:K52)</f>
        <v>86474156.829999998</v>
      </c>
      <c r="L53" s="22"/>
      <c r="M53" s="22"/>
      <c r="N53" s="122">
        <f>SUM(N38:N52)</f>
        <v>846363618.71000004</v>
      </c>
      <c r="O53" s="22"/>
      <c r="P53" s="22"/>
      <c r="Q53" s="22"/>
      <c r="R53" s="43"/>
      <c r="S53" s="39"/>
      <c r="T53" s="65"/>
      <c r="U53" s="65"/>
      <c r="V53" s="16"/>
      <c r="W53" s="16"/>
      <c r="X53" s="25"/>
      <c r="Y53" s="20"/>
      <c r="Z53" s="20"/>
      <c r="AA53" s="20"/>
      <c r="AB53" s="20"/>
      <c r="AC53" s="22"/>
      <c r="AD53" s="25"/>
      <c r="AE53" s="16"/>
      <c r="AF53" s="16"/>
    </row>
    <row r="54" spans="1:32">
      <c r="A54" s="3"/>
      <c r="B54" s="16" t="s">
        <v>40</v>
      </c>
      <c r="C54" s="16"/>
      <c r="D54" s="16"/>
      <c r="E54" s="16"/>
      <c r="F54" s="16"/>
      <c r="G54" s="25"/>
      <c r="H54" s="21">
        <v>0</v>
      </c>
      <c r="I54" s="22"/>
      <c r="J54" s="22"/>
      <c r="K54" s="21">
        <v>0</v>
      </c>
      <c r="L54" s="22"/>
      <c r="M54" s="22"/>
      <c r="N54" s="123">
        <v>0</v>
      </c>
      <c r="O54" s="22"/>
      <c r="P54" s="22"/>
      <c r="Q54" s="22"/>
      <c r="S54" s="54"/>
      <c r="T54" s="54"/>
      <c r="U54" s="54"/>
      <c r="V54" s="45"/>
      <c r="W54" s="45"/>
      <c r="X54" s="55"/>
      <c r="Y54" s="22"/>
      <c r="Z54" s="22"/>
      <c r="AA54" s="22"/>
      <c r="AB54" s="22"/>
      <c r="AC54" s="51"/>
      <c r="AD54" s="25"/>
      <c r="AE54" s="16"/>
      <c r="AF54" s="16"/>
    </row>
    <row r="55" spans="1:32" ht="15" customHeight="1">
      <c r="A55" s="3"/>
      <c r="B55" s="28" t="s">
        <v>41</v>
      </c>
      <c r="C55" s="28"/>
      <c r="D55" s="16"/>
      <c r="E55" s="16"/>
      <c r="F55" s="16"/>
      <c r="G55" s="25"/>
      <c r="H55" s="22">
        <f>+H53-H54</f>
        <v>759889461.88</v>
      </c>
      <c r="I55" s="22"/>
      <c r="J55" s="22"/>
      <c r="K55" s="22">
        <f>+K53-K54</f>
        <v>86474156.829999998</v>
      </c>
      <c r="L55" s="22"/>
      <c r="M55" s="22"/>
      <c r="N55" s="122">
        <f>+N53-N54</f>
        <v>846363618.71000004</v>
      </c>
      <c r="O55" s="22"/>
      <c r="P55" s="51"/>
      <c r="Q55" s="34"/>
      <c r="R55" s="43"/>
      <c r="S55" s="56"/>
      <c r="T55" s="60"/>
      <c r="U55" s="61"/>
      <c r="V55" s="61"/>
      <c r="W55" s="61"/>
      <c r="X55" s="55"/>
      <c r="Y55" s="20"/>
      <c r="Z55" s="20"/>
      <c r="AA55" s="20"/>
      <c r="AB55" s="20"/>
      <c r="AC55" s="22"/>
      <c r="AD55" s="25"/>
      <c r="AE55" s="16"/>
      <c r="AF55" s="16"/>
    </row>
    <row r="56" spans="1:32" ht="15" customHeight="1">
      <c r="A56" s="3"/>
      <c r="B56" s="16" t="s">
        <v>56</v>
      </c>
      <c r="C56" s="16"/>
      <c r="D56" s="16" t="s">
        <v>163</v>
      </c>
      <c r="E56" s="16"/>
      <c r="F56" s="16"/>
      <c r="G56" s="25"/>
      <c r="H56" s="22">
        <f>-0.04-209773795.28-0.97-1.45</f>
        <v>-209773797.73999998</v>
      </c>
      <c r="I56" s="22"/>
      <c r="J56" s="22"/>
      <c r="K56" s="22">
        <v>0</v>
      </c>
      <c r="L56" s="22"/>
      <c r="M56" s="22"/>
      <c r="N56" s="122">
        <f>-0.04-209773795.28-0.97-1.45</f>
        <v>-209773797.73999998</v>
      </c>
      <c r="O56" s="22"/>
      <c r="P56" s="51"/>
      <c r="Q56" s="34"/>
      <c r="S56" s="56"/>
      <c r="T56" s="60"/>
      <c r="U56" s="61"/>
      <c r="V56" s="61"/>
      <c r="W56" s="61"/>
      <c r="X56" s="55"/>
      <c r="Y56" s="20"/>
      <c r="Z56" s="20"/>
      <c r="AA56" s="20"/>
      <c r="AB56" s="20"/>
      <c r="AC56" s="22"/>
      <c r="AD56" s="25"/>
      <c r="AE56" s="16"/>
      <c r="AF56" s="16"/>
    </row>
    <row r="57" spans="1:32" ht="15" customHeight="1">
      <c r="A57" s="3"/>
      <c r="B57" s="16"/>
      <c r="C57" s="16"/>
      <c r="D57" s="16" t="s">
        <v>164</v>
      </c>
      <c r="E57" s="16"/>
      <c r="F57" s="16"/>
      <c r="G57" s="25"/>
      <c r="H57" s="22">
        <v>-118987443.34999999</v>
      </c>
      <c r="I57" s="22"/>
      <c r="J57" s="22"/>
      <c r="K57" s="22">
        <v>0</v>
      </c>
      <c r="L57" s="22"/>
      <c r="M57" s="22"/>
      <c r="N57" s="122">
        <v>-118987443.34999999</v>
      </c>
      <c r="O57" s="22"/>
      <c r="P57" s="119"/>
      <c r="Q57" s="118"/>
      <c r="S57" s="56"/>
      <c r="T57" s="60"/>
      <c r="U57" s="61"/>
      <c r="V57" s="61"/>
      <c r="W57" s="61"/>
      <c r="X57" s="55"/>
      <c r="Y57" s="20"/>
      <c r="Z57" s="20"/>
      <c r="AA57" s="20"/>
      <c r="AB57" s="20"/>
      <c r="AC57" s="22"/>
      <c r="AD57" s="25"/>
      <c r="AE57" s="16"/>
      <c r="AF57" s="16"/>
    </row>
    <row r="58" spans="1:32" ht="16.5" customHeight="1">
      <c r="A58" s="3"/>
      <c r="B58" s="16"/>
      <c r="C58" s="16"/>
      <c r="D58" s="16" t="s">
        <v>75</v>
      </c>
      <c r="E58" s="16"/>
      <c r="F58" s="16"/>
      <c r="G58" s="25"/>
      <c r="H58" s="22">
        <v>-428548261.79000002</v>
      </c>
      <c r="I58" s="22">
        <f>+H58+H49</f>
        <v>-395712039.91000003</v>
      </c>
      <c r="J58" s="22"/>
      <c r="K58" s="22">
        <f>-AF31</f>
        <v>-30834224.989999995</v>
      </c>
      <c r="L58" s="22">
        <f>+K58+K49</f>
        <v>-25744068.159999996</v>
      </c>
      <c r="M58" s="22"/>
      <c r="N58" s="122">
        <f>-41435530.02-30432815.6-88102173.2+256000-29927199.49-97107198.84-141799344.64-30834224.99</f>
        <v>-459382486.77999997</v>
      </c>
      <c r="O58" s="22">
        <f>+I58+L58</f>
        <v>-421456108.07000005</v>
      </c>
      <c r="P58" s="22"/>
      <c r="Q58" s="107"/>
      <c r="R58" s="43"/>
      <c r="S58" s="57"/>
      <c r="T58" s="61"/>
      <c r="U58" s="61"/>
      <c r="V58" s="40"/>
      <c r="W58" s="40"/>
      <c r="X58" s="55"/>
      <c r="Y58" s="20"/>
      <c r="Z58" s="20"/>
      <c r="AA58" s="20"/>
      <c r="AB58" s="20"/>
      <c r="AC58" s="22"/>
      <c r="AD58" s="25"/>
      <c r="AE58" s="16"/>
      <c r="AF58" s="16"/>
    </row>
    <row r="59" spans="1:32" ht="13.5" customHeight="1">
      <c r="A59" s="3"/>
      <c r="B59" s="28" t="s">
        <v>61</v>
      </c>
      <c r="C59" s="28"/>
      <c r="D59" s="28"/>
      <c r="E59" s="28"/>
      <c r="F59" s="28"/>
      <c r="G59" s="124"/>
      <c r="H59" s="105">
        <f>SUM(H55:H58)</f>
        <v>2579958.9999999404</v>
      </c>
      <c r="I59" s="34"/>
      <c r="J59" s="34"/>
      <c r="K59" s="105">
        <f>SUM(K55:K58)</f>
        <v>55639931.840000004</v>
      </c>
      <c r="L59" s="34"/>
      <c r="M59" s="51"/>
      <c r="N59" s="125">
        <f>SUM(N55:N58)</f>
        <v>58219890.840000033</v>
      </c>
      <c r="O59" s="51">
        <f>+N58+N49</f>
        <v>-421456108.06999999</v>
      </c>
      <c r="P59" s="34"/>
      <c r="Q59" s="34"/>
      <c r="R59" s="18"/>
      <c r="S59" s="57"/>
      <c r="T59" s="61"/>
      <c r="U59" s="61"/>
      <c r="V59" s="40"/>
      <c r="W59" s="40"/>
      <c r="X59" s="45"/>
      <c r="AC59" s="18"/>
    </row>
    <row r="60" spans="1:32" ht="11.25" customHeight="1">
      <c r="A60" s="3"/>
      <c r="B60" s="28"/>
      <c r="C60" s="28"/>
      <c r="D60" s="28"/>
      <c r="E60" s="28"/>
      <c r="F60" s="28"/>
      <c r="G60" s="124"/>
      <c r="H60" s="34"/>
      <c r="I60" s="34"/>
      <c r="J60" s="34"/>
      <c r="K60" s="34"/>
      <c r="L60" s="34"/>
      <c r="M60" s="51"/>
      <c r="N60" s="128"/>
      <c r="O60" s="51"/>
      <c r="P60" s="34"/>
      <c r="R60" s="18"/>
      <c r="S60" s="57"/>
      <c r="T60" s="61"/>
      <c r="U60" s="61"/>
      <c r="V60" s="40"/>
      <c r="W60" s="40"/>
      <c r="X60" s="45"/>
      <c r="AC60" s="18"/>
    </row>
    <row r="61" spans="1:32" ht="13.5" customHeight="1">
      <c r="A61" s="3"/>
      <c r="B61" s="28" t="s">
        <v>74</v>
      </c>
      <c r="C61" s="28"/>
      <c r="D61" s="28"/>
      <c r="E61" s="28"/>
      <c r="F61" s="28"/>
      <c r="G61" s="124"/>
      <c r="H61" s="34">
        <f>101246000+101587000+174589000+131372000+139608000+137278000</f>
        <v>785680000</v>
      </c>
      <c r="I61" s="34"/>
      <c r="J61" s="34"/>
      <c r="K61" s="118">
        <v>137295000</v>
      </c>
      <c r="L61" s="118"/>
      <c r="M61" s="119"/>
      <c r="N61" s="126">
        <f>101246000+101587000+174589000+131372000+139608000+137278000+137295000</f>
        <v>922975000</v>
      </c>
      <c r="O61" s="119"/>
      <c r="P61" s="22"/>
      <c r="R61" s="18"/>
      <c r="S61" s="57"/>
      <c r="T61" s="61"/>
      <c r="U61" s="61"/>
      <c r="V61" s="40"/>
      <c r="W61" s="40"/>
      <c r="X61" s="45"/>
      <c r="AC61" s="18"/>
    </row>
    <row r="62" spans="1:32" ht="13.5" customHeight="1">
      <c r="A62" s="3"/>
      <c r="B62" s="16" t="s">
        <v>99</v>
      </c>
      <c r="C62" s="28"/>
      <c r="D62" s="28"/>
      <c r="E62" s="28"/>
      <c r="F62" s="28"/>
      <c r="G62" s="124"/>
      <c r="H62" s="107">
        <f>+H58</f>
        <v>-428548261.79000002</v>
      </c>
      <c r="I62" s="107"/>
      <c r="J62" s="107"/>
      <c r="K62" s="107">
        <f>+K58</f>
        <v>-30834224.989999995</v>
      </c>
      <c r="L62" s="107"/>
      <c r="M62" s="22"/>
      <c r="N62" s="127">
        <f>+N58</f>
        <v>-459382486.77999997</v>
      </c>
      <c r="O62" s="22"/>
      <c r="P62" s="22"/>
      <c r="S62" s="57"/>
      <c r="T62" s="61"/>
      <c r="U62" s="61"/>
      <c r="V62" s="40"/>
      <c r="W62" s="40"/>
      <c r="X62" s="45"/>
      <c r="AC62" s="18"/>
    </row>
    <row r="63" spans="1:32" ht="13.5" customHeight="1">
      <c r="A63" s="3"/>
      <c r="B63" s="28" t="s">
        <v>43</v>
      </c>
      <c r="C63" s="28"/>
      <c r="D63" s="28"/>
      <c r="E63" s="28"/>
      <c r="F63" s="28"/>
      <c r="G63" s="124"/>
      <c r="H63" s="105">
        <f>+H61+H62</f>
        <v>357131738.20999998</v>
      </c>
      <c r="I63" s="34"/>
      <c r="J63" s="34"/>
      <c r="K63" s="105">
        <f>+K61+K62</f>
        <v>106460775.01000001</v>
      </c>
      <c r="L63" s="34"/>
      <c r="M63" s="34"/>
      <c r="N63" s="125">
        <f>+N61+N62:N62</f>
        <v>463592513.22000003</v>
      </c>
      <c r="O63" s="34"/>
      <c r="P63" s="22"/>
      <c r="S63" s="57"/>
      <c r="T63" s="61"/>
      <c r="U63" s="61"/>
      <c r="V63" s="40"/>
      <c r="W63" s="40"/>
      <c r="X63" s="45"/>
      <c r="AC63" s="18"/>
    </row>
    <row r="64" spans="1:32" ht="13.5" customHeight="1">
      <c r="A64" s="3"/>
      <c r="B64" s="121" t="s">
        <v>42</v>
      </c>
      <c r="C64" s="121"/>
      <c r="D64" s="16"/>
      <c r="E64" s="28"/>
      <c r="F64" s="28"/>
      <c r="G64" s="124"/>
      <c r="H64" s="34"/>
      <c r="I64" s="34"/>
      <c r="J64" s="34"/>
      <c r="K64" s="34"/>
      <c r="L64" s="34"/>
      <c r="M64" s="34"/>
      <c r="N64" s="128"/>
      <c r="O64" s="34"/>
      <c r="P64" s="34"/>
      <c r="S64" s="57"/>
      <c r="T64" s="61"/>
      <c r="U64" s="61"/>
      <c r="V64" s="40"/>
      <c r="W64" s="40"/>
      <c r="X64" s="45"/>
      <c r="AC64" s="18"/>
    </row>
    <row r="65" spans="1:29" ht="13.5" customHeight="1">
      <c r="A65" s="3"/>
      <c r="B65" s="121" t="s">
        <v>73</v>
      </c>
      <c r="C65" s="121"/>
      <c r="D65" s="16"/>
      <c r="E65" s="28"/>
      <c r="F65" s="28"/>
      <c r="G65" s="124"/>
      <c r="H65" s="34"/>
      <c r="I65" s="34"/>
      <c r="J65" s="34"/>
      <c r="K65" s="34"/>
      <c r="L65" s="34"/>
      <c r="M65" s="34"/>
      <c r="N65" s="128"/>
      <c r="O65" s="34"/>
      <c r="P65" s="34"/>
      <c r="S65" s="57"/>
      <c r="T65" s="61"/>
      <c r="U65" s="61"/>
      <c r="V65" s="40"/>
      <c r="W65" s="40"/>
      <c r="X65" s="45"/>
      <c r="AC65" s="18"/>
    </row>
    <row r="66" spans="1:29" ht="13.5" customHeight="1">
      <c r="A66" s="5"/>
      <c r="B66" s="129"/>
      <c r="C66" s="129" t="s">
        <v>102</v>
      </c>
      <c r="D66" s="15"/>
      <c r="E66" s="130"/>
      <c r="F66" s="130"/>
      <c r="G66" s="131"/>
      <c r="H66" s="132"/>
      <c r="I66" s="132"/>
      <c r="J66" s="132"/>
      <c r="K66" s="132"/>
      <c r="L66" s="132"/>
      <c r="M66" s="132"/>
      <c r="N66" s="133"/>
      <c r="O66" s="16"/>
      <c r="P66" s="16"/>
      <c r="S66" s="57"/>
      <c r="T66" s="61"/>
      <c r="U66" s="61"/>
      <c r="V66" s="40"/>
      <c r="W66" s="40"/>
      <c r="X66" s="45"/>
      <c r="AC66" s="18"/>
    </row>
    <row r="67" spans="1:29" ht="15" customHeight="1">
      <c r="B67" s="26"/>
      <c r="C67" s="26"/>
      <c r="H67" s="20"/>
      <c r="I67" s="20"/>
      <c r="J67" s="20"/>
      <c r="K67" s="20"/>
      <c r="M67" s="20"/>
      <c r="N67" s="20"/>
      <c r="O67" s="134"/>
      <c r="P67" s="16"/>
      <c r="S67" s="56"/>
      <c r="T67" s="60"/>
      <c r="U67" s="61"/>
      <c r="V67" s="40"/>
      <c r="W67" s="63"/>
      <c r="X67" s="45"/>
    </row>
    <row r="68" spans="1:29" ht="15" customHeight="1">
      <c r="B68" s="26"/>
      <c r="C68" s="26"/>
      <c r="D68" s="26"/>
      <c r="H68" s="20"/>
      <c r="I68" s="20"/>
      <c r="J68" s="20"/>
      <c r="K68" s="20"/>
      <c r="M68" s="20"/>
      <c r="N68" s="20"/>
      <c r="O68" s="43"/>
      <c r="S68" s="56"/>
      <c r="T68" s="61"/>
      <c r="U68" s="61"/>
      <c r="V68" s="40"/>
      <c r="W68" s="40"/>
      <c r="X68" s="45"/>
    </row>
    <row r="69" spans="1:29" ht="15" customHeight="1">
      <c r="B69" s="16"/>
      <c r="C69" s="16"/>
      <c r="D69" s="16"/>
      <c r="E69" s="16"/>
      <c r="F69" s="38"/>
      <c r="K69" s="43"/>
      <c r="L69" s="38"/>
      <c r="N69" s="22"/>
      <c r="O69" s="18"/>
      <c r="P69" s="18"/>
      <c r="S69" s="56"/>
      <c r="T69" s="60"/>
      <c r="U69" s="61"/>
      <c r="V69" s="62"/>
      <c r="W69" s="61"/>
      <c r="X69" s="45"/>
    </row>
    <row r="70" spans="1:29" ht="15" customHeight="1">
      <c r="B70" s="28"/>
      <c r="C70" s="28"/>
      <c r="D70" s="16"/>
      <c r="E70" s="16"/>
      <c r="K70" s="43"/>
      <c r="N70" s="51"/>
      <c r="S70" s="57"/>
      <c r="T70" s="61"/>
      <c r="U70" s="61"/>
      <c r="V70" s="40"/>
      <c r="W70" s="40"/>
      <c r="X70" s="45"/>
    </row>
    <row r="71" spans="1:29">
      <c r="K71" s="43"/>
      <c r="N71" s="22"/>
      <c r="S71" s="57"/>
      <c r="T71" s="61"/>
      <c r="U71" s="61"/>
      <c r="V71" s="40"/>
      <c r="W71" s="40"/>
      <c r="X71" s="16"/>
    </row>
    <row r="72" spans="1:29">
      <c r="K72" s="43"/>
      <c r="N72" s="22"/>
      <c r="S72" s="57"/>
      <c r="T72" s="57"/>
      <c r="U72" s="57"/>
      <c r="V72" s="40"/>
      <c r="W72" s="50"/>
    </row>
    <row r="73" spans="1:29">
      <c r="K73" s="134"/>
      <c r="M73" s="43"/>
      <c r="S73" s="56"/>
      <c r="T73" s="56"/>
      <c r="U73" s="57"/>
      <c r="V73" s="62"/>
      <c r="W73" s="57"/>
    </row>
    <row r="74" spans="1:29">
      <c r="K74" s="134"/>
      <c r="M74" s="22"/>
      <c r="N74" s="59"/>
      <c r="S74" s="26"/>
    </row>
    <row r="75" spans="1:29">
      <c r="K75" s="134"/>
      <c r="M75" s="22"/>
      <c r="N75" s="22"/>
    </row>
    <row r="76" spans="1:29">
      <c r="K76" s="25"/>
      <c r="M76" s="22"/>
      <c r="N76" s="22"/>
      <c r="T76" s="39" t="s">
        <v>78</v>
      </c>
      <c r="U76" s="39"/>
      <c r="X76" s="19"/>
      <c r="Y76" s="18"/>
    </row>
    <row r="77" spans="1:29">
      <c r="K77" s="134"/>
      <c r="M77" s="22"/>
      <c r="N77" s="22"/>
      <c r="T77" s="54" t="s">
        <v>64</v>
      </c>
      <c r="U77" s="54"/>
      <c r="V77" s="45"/>
      <c r="W77" s="45"/>
      <c r="X77" s="55"/>
    </row>
    <row r="78" spans="1:29">
      <c r="K78" s="25"/>
      <c r="M78" s="22"/>
      <c r="N78" s="22"/>
      <c r="T78" s="56" t="s">
        <v>169</v>
      </c>
      <c r="U78" s="57"/>
      <c r="V78" s="57"/>
      <c r="W78" s="57"/>
      <c r="X78" s="58"/>
      <c r="Y78" s="18"/>
    </row>
    <row r="79" spans="1:29">
      <c r="K79" s="134"/>
      <c r="M79" s="22"/>
      <c r="N79" s="22"/>
      <c r="T79" s="56"/>
      <c r="U79" s="57"/>
      <c r="V79" s="57"/>
      <c r="W79" s="57"/>
      <c r="X79" s="117"/>
      <c r="Y79" s="91" t="s">
        <v>172</v>
      </c>
      <c r="AB79" s="95" t="s">
        <v>95</v>
      </c>
    </row>
    <row r="80" spans="1:29">
      <c r="K80" s="25"/>
      <c r="M80" s="22"/>
      <c r="N80" s="22"/>
      <c r="S80" s="82" t="s">
        <v>82</v>
      </c>
      <c r="T80" s="83"/>
      <c r="U80" s="84"/>
      <c r="V80" s="103"/>
      <c r="W80" s="84"/>
      <c r="X80" s="85"/>
      <c r="Y80" s="86" t="s">
        <v>182</v>
      </c>
      <c r="AB80" s="112" t="s">
        <v>173</v>
      </c>
    </row>
    <row r="81" spans="11:29">
      <c r="K81" s="77"/>
      <c r="M81" s="22"/>
      <c r="N81" s="22"/>
      <c r="S81" s="89" t="s">
        <v>83</v>
      </c>
      <c r="T81" s="60" t="s">
        <v>80</v>
      </c>
      <c r="U81" s="61" t="s">
        <v>4</v>
      </c>
      <c r="V81" s="40">
        <v>20371</v>
      </c>
      <c r="W81" s="40"/>
      <c r="X81" s="69"/>
      <c r="Y81" s="79"/>
      <c r="AB81" s="96"/>
    </row>
    <row r="82" spans="11:29">
      <c r="K82" s="19"/>
      <c r="M82" s="22"/>
      <c r="N82" s="22"/>
      <c r="S82" s="72"/>
      <c r="T82" s="61"/>
      <c r="U82" s="61" t="s">
        <v>5</v>
      </c>
      <c r="V82" s="40">
        <v>31368</v>
      </c>
      <c r="W82" s="40"/>
      <c r="X82" s="69"/>
      <c r="Y82" s="79"/>
      <c r="AB82" s="96"/>
    </row>
    <row r="83" spans="11:29">
      <c r="K83" s="19"/>
      <c r="M83" s="22"/>
      <c r="N83" s="22"/>
      <c r="S83" s="72"/>
      <c r="T83" s="61"/>
      <c r="U83" s="61" t="s">
        <v>7</v>
      </c>
      <c r="V83" s="48">
        <v>23750</v>
      </c>
      <c r="W83" s="40">
        <f>SUM(V81:V83)</f>
        <v>75489</v>
      </c>
      <c r="X83" s="69"/>
      <c r="Y83" s="80">
        <f>+W83</f>
        <v>75489</v>
      </c>
      <c r="Z83" s="18"/>
      <c r="AB83" s="96"/>
    </row>
    <row r="84" spans="11:29">
      <c r="K84" s="19"/>
      <c r="M84" s="22"/>
      <c r="N84" s="22"/>
      <c r="S84" s="72"/>
      <c r="T84" s="61" t="s">
        <v>158</v>
      </c>
      <c r="U84" s="61" t="s">
        <v>7</v>
      </c>
      <c r="V84" s="40"/>
      <c r="W84" s="40">
        <v>9143</v>
      </c>
      <c r="X84" s="69"/>
      <c r="Y84" s="80"/>
      <c r="Z84" s="18"/>
      <c r="AB84" s="96"/>
    </row>
    <row r="85" spans="11:29">
      <c r="K85" s="19"/>
      <c r="M85" s="22"/>
      <c r="N85" s="22"/>
      <c r="S85" s="72"/>
      <c r="T85" s="61" t="s">
        <v>159</v>
      </c>
      <c r="U85" s="61" t="s">
        <v>7</v>
      </c>
      <c r="V85" s="40"/>
      <c r="W85" s="40">
        <v>1401</v>
      </c>
      <c r="X85" s="69"/>
      <c r="Y85" s="80"/>
      <c r="Z85" s="18"/>
      <c r="AB85" s="96"/>
    </row>
    <row r="86" spans="11:29">
      <c r="K86" s="19"/>
      <c r="M86" s="22"/>
      <c r="N86" s="22"/>
      <c r="S86" s="72"/>
      <c r="T86" s="60" t="s">
        <v>116</v>
      </c>
      <c r="U86" s="61" t="s">
        <v>5</v>
      </c>
      <c r="V86" s="40"/>
      <c r="W86" s="40">
        <v>918</v>
      </c>
      <c r="X86" s="73"/>
      <c r="Y86" s="80">
        <v>918</v>
      </c>
      <c r="Z86" s="18"/>
      <c r="AB86" s="96"/>
    </row>
    <row r="87" spans="11:29">
      <c r="K87" s="19"/>
      <c r="M87" s="22"/>
      <c r="N87" s="22"/>
      <c r="P87" s="43"/>
      <c r="S87" s="70" t="s">
        <v>81</v>
      </c>
      <c r="T87" s="60"/>
      <c r="U87" s="61"/>
      <c r="V87" s="40"/>
      <c r="W87" s="40"/>
      <c r="X87" s="73"/>
      <c r="Y87" s="80"/>
      <c r="Z87" s="18"/>
      <c r="AB87" s="96"/>
    </row>
    <row r="88" spans="11:29">
      <c r="K88" s="19"/>
      <c r="M88" s="22"/>
      <c r="N88" s="22"/>
      <c r="P88" s="43"/>
      <c r="S88" s="72"/>
      <c r="T88" s="60" t="s">
        <v>89</v>
      </c>
      <c r="U88" s="61" t="s">
        <v>4</v>
      </c>
      <c r="V88" s="40">
        <v>0</v>
      </c>
      <c r="W88" s="40"/>
      <c r="X88" s="73"/>
      <c r="Y88" s="80">
        <v>0</v>
      </c>
      <c r="Z88" s="93"/>
      <c r="AA88" s="94"/>
      <c r="AB88" s="110">
        <v>0</v>
      </c>
      <c r="AC88" s="88" t="s">
        <v>98</v>
      </c>
    </row>
    <row r="89" spans="11:29">
      <c r="K89" s="19"/>
      <c r="M89" s="22"/>
      <c r="N89" s="22"/>
      <c r="P89" s="43"/>
      <c r="S89" s="72"/>
      <c r="T89" s="60" t="s">
        <v>90</v>
      </c>
      <c r="U89" s="61" t="s">
        <v>5</v>
      </c>
      <c r="V89" s="48">
        <v>0</v>
      </c>
      <c r="W89" s="40">
        <f>+V88+V89</f>
        <v>0</v>
      </c>
      <c r="X89" s="73"/>
      <c r="Y89" s="80">
        <v>0</v>
      </c>
      <c r="AB89" s="96"/>
    </row>
    <row r="90" spans="11:29">
      <c r="K90" s="19"/>
      <c r="M90" s="22"/>
      <c r="N90" s="22"/>
      <c r="P90" s="43"/>
      <c r="S90" s="60" t="s">
        <v>91</v>
      </c>
      <c r="T90" s="60"/>
      <c r="U90" s="61" t="s">
        <v>4</v>
      </c>
      <c r="V90" s="40"/>
      <c r="W90" s="48">
        <v>2026</v>
      </c>
      <c r="X90" s="71">
        <f>SUM(W83:W90)</f>
        <v>88977</v>
      </c>
      <c r="Y90" s="80">
        <f>+W90</f>
        <v>2026</v>
      </c>
      <c r="Z90" s="88" t="s">
        <v>63</v>
      </c>
      <c r="AB90" s="96"/>
    </row>
    <row r="91" spans="11:29">
      <c r="K91" s="19"/>
      <c r="M91" s="51"/>
      <c r="N91" s="34"/>
      <c r="S91" s="90" t="s">
        <v>84</v>
      </c>
      <c r="T91" s="60"/>
      <c r="U91" s="61"/>
      <c r="V91" s="40"/>
      <c r="W91" s="40"/>
      <c r="X91" s="69"/>
      <c r="Y91" s="79"/>
      <c r="AB91" s="96"/>
    </row>
    <row r="92" spans="11:29">
      <c r="K92" s="19"/>
      <c r="M92" s="51"/>
      <c r="N92" s="34"/>
      <c r="S92" s="87"/>
      <c r="T92" s="60" t="s">
        <v>93</v>
      </c>
      <c r="U92" s="61" t="s">
        <v>4</v>
      </c>
      <c r="V92" s="40"/>
      <c r="W92" s="40">
        <v>0</v>
      </c>
      <c r="X92" s="73"/>
      <c r="Y92" s="80">
        <f>+W92</f>
        <v>0</v>
      </c>
      <c r="AB92" s="96"/>
    </row>
    <row r="93" spans="11:29">
      <c r="K93" s="19"/>
      <c r="M93" s="22"/>
      <c r="N93" s="107"/>
      <c r="S93" s="87"/>
      <c r="T93" s="60" t="s">
        <v>148</v>
      </c>
      <c r="U93" s="61" t="s">
        <v>4</v>
      </c>
      <c r="V93" s="40">
        <v>0</v>
      </c>
      <c r="W93" s="40"/>
      <c r="X93" s="69"/>
      <c r="Y93" s="80">
        <v>0</v>
      </c>
      <c r="AB93" s="96"/>
    </row>
    <row r="94" spans="11:29">
      <c r="K94" s="19"/>
      <c r="M94" s="34"/>
      <c r="N94" s="34"/>
      <c r="S94" s="87"/>
      <c r="T94" s="60"/>
      <c r="U94" s="61" t="s">
        <v>5</v>
      </c>
      <c r="V94" s="48">
        <v>2951</v>
      </c>
      <c r="W94" s="40">
        <f>SUM(V93:V94)</f>
        <v>2951</v>
      </c>
      <c r="X94" s="69"/>
      <c r="Y94" s="80">
        <f>+W94</f>
        <v>2951</v>
      </c>
      <c r="AB94" s="96"/>
    </row>
    <row r="95" spans="11:29">
      <c r="K95" s="19"/>
      <c r="M95" s="34"/>
      <c r="N95" s="34"/>
      <c r="S95" s="87"/>
      <c r="T95" s="60" t="s">
        <v>85</v>
      </c>
      <c r="U95" s="61"/>
      <c r="V95" s="40"/>
      <c r="W95" s="40"/>
      <c r="X95" s="69"/>
      <c r="Y95" s="80"/>
      <c r="AB95" s="96"/>
    </row>
    <row r="96" spans="11:29">
      <c r="K96" s="19"/>
      <c r="M96" s="34"/>
      <c r="N96" s="34"/>
      <c r="S96" s="87"/>
      <c r="T96" s="60"/>
      <c r="U96" s="61" t="s">
        <v>4</v>
      </c>
      <c r="V96" s="40">
        <v>0</v>
      </c>
      <c r="W96" s="40"/>
      <c r="X96" s="69"/>
      <c r="Y96" s="80"/>
      <c r="AB96" s="96"/>
    </row>
    <row r="97" spans="11:29">
      <c r="K97" s="19"/>
      <c r="M97" s="34"/>
      <c r="N97" s="34"/>
      <c r="S97" s="87"/>
      <c r="T97" s="60"/>
      <c r="U97" s="61" t="s">
        <v>5</v>
      </c>
      <c r="V97" s="40">
        <v>0</v>
      </c>
      <c r="W97" s="40"/>
      <c r="X97" s="69"/>
      <c r="Y97" s="80"/>
      <c r="AB97" s="96"/>
    </row>
    <row r="98" spans="11:29">
      <c r="K98" s="19"/>
      <c r="M98" s="34"/>
      <c r="N98" s="34"/>
      <c r="S98" s="87"/>
      <c r="T98" s="60"/>
      <c r="U98" s="61" t="s">
        <v>7</v>
      </c>
      <c r="V98" s="48">
        <v>0</v>
      </c>
      <c r="W98" s="40">
        <f>SUM(V96:V98)</f>
        <v>0</v>
      </c>
      <c r="X98" s="69"/>
      <c r="Y98" s="80">
        <f>+W98</f>
        <v>0</v>
      </c>
      <c r="AB98" s="96"/>
    </row>
    <row r="99" spans="11:29">
      <c r="K99" s="19"/>
      <c r="S99" s="87"/>
      <c r="T99" s="60" t="s">
        <v>171</v>
      </c>
      <c r="U99" s="61"/>
      <c r="V99" s="40"/>
      <c r="W99" s="40"/>
      <c r="X99" s="69"/>
      <c r="Y99" s="79"/>
      <c r="AB99" s="96"/>
    </row>
    <row r="100" spans="11:29">
      <c r="K100" s="19"/>
      <c r="S100" s="87"/>
      <c r="T100" s="60"/>
      <c r="U100" s="61" t="s">
        <v>7</v>
      </c>
      <c r="V100" s="48">
        <v>38011</v>
      </c>
      <c r="W100" s="48">
        <f>SUM(V100:V100)</f>
        <v>38011</v>
      </c>
      <c r="X100" s="74">
        <f>SUM(W92:W100)</f>
        <v>40962</v>
      </c>
      <c r="Y100" s="80"/>
      <c r="AB100" s="96"/>
    </row>
    <row r="101" spans="11:29">
      <c r="K101" s="19"/>
      <c r="S101" s="87"/>
      <c r="T101" s="60" t="s">
        <v>170</v>
      </c>
      <c r="U101" s="60"/>
      <c r="V101" s="63"/>
      <c r="W101" s="63"/>
      <c r="X101" s="73">
        <f>SUM(X90:X100)</f>
        <v>129939</v>
      </c>
      <c r="Y101" s="79"/>
      <c r="AB101" s="96"/>
    </row>
    <row r="102" spans="11:29">
      <c r="K102" s="19"/>
      <c r="S102" s="90" t="s">
        <v>87</v>
      </c>
      <c r="T102" s="61"/>
      <c r="U102" s="61" t="s">
        <v>4</v>
      </c>
      <c r="V102" s="40"/>
      <c r="W102" s="40">
        <v>2263</v>
      </c>
      <c r="X102" s="69"/>
      <c r="Y102" s="79"/>
      <c r="AB102" s="96"/>
    </row>
    <row r="103" spans="11:29">
      <c r="K103" s="19"/>
      <c r="S103" s="87"/>
      <c r="T103" s="61"/>
      <c r="U103" s="61" t="s">
        <v>5</v>
      </c>
      <c r="V103" s="40"/>
      <c r="W103" s="40">
        <v>1842</v>
      </c>
      <c r="X103" s="69"/>
      <c r="Y103" s="79"/>
      <c r="AB103" s="96"/>
    </row>
    <row r="104" spans="11:29">
      <c r="K104" s="19"/>
      <c r="S104" s="87"/>
      <c r="T104" s="61"/>
      <c r="U104" s="61" t="s">
        <v>7</v>
      </c>
      <c r="V104" s="40"/>
      <c r="W104" s="48">
        <v>3251</v>
      </c>
      <c r="X104" s="74">
        <f>SUM(W102:W104)</f>
        <v>7356</v>
      </c>
      <c r="Y104" s="104"/>
      <c r="AB104" s="98"/>
    </row>
    <row r="105" spans="11:29">
      <c r="K105" s="19"/>
      <c r="S105" s="90" t="s">
        <v>88</v>
      </c>
      <c r="T105" s="60"/>
      <c r="U105" s="61"/>
      <c r="V105" s="62"/>
      <c r="W105" s="68"/>
      <c r="X105" s="73">
        <f>+X101+X104</f>
        <v>137295</v>
      </c>
      <c r="Y105" s="80">
        <f>SUM(Y83:Y100)</f>
        <v>81384</v>
      </c>
      <c r="Z105" s="88" t="s">
        <v>174</v>
      </c>
      <c r="AB105" s="111">
        <f>SUM(AB83:AB104)</f>
        <v>0</v>
      </c>
      <c r="AC105" s="88" t="s">
        <v>174</v>
      </c>
    </row>
    <row r="106" spans="11:29">
      <c r="K106" s="19"/>
      <c r="S106" s="75"/>
      <c r="T106" s="76"/>
      <c r="U106" s="76"/>
      <c r="V106" s="76"/>
      <c r="W106" s="77"/>
      <c r="X106" s="78"/>
      <c r="Y106" s="81"/>
      <c r="AB106" s="98"/>
    </row>
    <row r="107" spans="11:29">
      <c r="K107" s="19"/>
      <c r="Y107" s="19"/>
      <c r="AB107" s="43">
        <f>+(Y105+AB105)*1000</f>
        <v>81384000</v>
      </c>
      <c r="AC107" t="s">
        <v>188</v>
      </c>
    </row>
    <row r="108" spans="11:29">
      <c r="K108" s="19"/>
      <c r="X108" s="18"/>
      <c r="Y108" s="43"/>
      <c r="AB108" s="18"/>
    </row>
    <row r="109" spans="11:29">
      <c r="K109" s="19"/>
      <c r="X109" s="18"/>
      <c r="Y109" s="43"/>
    </row>
    <row r="110" spans="11:29">
      <c r="K110" s="19"/>
      <c r="X110" s="18"/>
      <c r="Y110" s="19"/>
    </row>
    <row r="111" spans="11:29">
      <c r="K111" s="19"/>
    </row>
    <row r="112" spans="11:29">
      <c r="K112" s="19"/>
      <c r="X112" s="18"/>
    </row>
    <row r="113" spans="11:11">
      <c r="K113" s="19"/>
    </row>
  </sheetData>
  <mergeCells count="12">
    <mergeCell ref="AB12:AF12"/>
    <mergeCell ref="Z36:AA36"/>
    <mergeCell ref="A2:R2"/>
    <mergeCell ref="A3:R3"/>
    <mergeCell ref="G12:K12"/>
    <mergeCell ref="L12:V12"/>
    <mergeCell ref="X12:AA12"/>
    <mergeCell ref="A13:F13"/>
    <mergeCell ref="L13:P13"/>
    <mergeCell ref="Q13:U13"/>
    <mergeCell ref="A15:F15"/>
    <mergeCell ref="W36:Y36"/>
  </mergeCells>
  <printOptions horizontalCentered="1"/>
  <pageMargins left="0" right="0" top="0.19" bottom="0" header="0.17" footer="0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12"/>
  <sheetViews>
    <sheetView workbookViewId="0">
      <selection activeCell="A23" sqref="A23"/>
    </sheetView>
  </sheetViews>
  <sheetFormatPr defaultRowHeight="15"/>
  <cols>
    <col min="1" max="1" width="1.28515625" customWidth="1"/>
    <col min="2" max="3" width="5.140625" customWidth="1"/>
    <col min="4" max="4" width="34" customWidth="1"/>
    <col min="5" max="5" width="1.28515625" customWidth="1"/>
    <col min="6" max="6" width="8.42578125" customWidth="1"/>
    <col min="7" max="7" width="12.7109375" customWidth="1"/>
    <col min="8" max="8" width="13.5703125" customWidth="1"/>
    <col min="9" max="9" width="17.85546875" customWidth="1"/>
    <col min="10" max="10" width="12.5703125" customWidth="1"/>
    <col min="11" max="11" width="13.140625" customWidth="1"/>
    <col min="12" max="12" width="15.42578125" customWidth="1"/>
    <col min="13" max="13" width="12.85546875" customWidth="1"/>
    <col min="14" max="14" width="14" customWidth="1"/>
    <col min="15" max="15" width="13.7109375" customWidth="1"/>
    <col min="16" max="16" width="14.140625" customWidth="1"/>
    <col min="17" max="17" width="13.5703125" customWidth="1"/>
    <col min="18" max="18" width="12" customWidth="1"/>
    <col min="19" max="19" width="7.85546875" customWidth="1"/>
    <col min="20" max="20" width="14" customWidth="1"/>
    <col min="21" max="22" width="12" customWidth="1"/>
    <col min="23" max="23" width="13.28515625" customWidth="1"/>
    <col min="24" max="24" width="10" customWidth="1"/>
    <col min="25" max="25" width="14.7109375" customWidth="1"/>
    <col min="26" max="26" width="8.28515625" customWidth="1"/>
    <col min="27" max="27" width="8.85546875" customWidth="1"/>
    <col min="28" max="28" width="13.28515625" customWidth="1"/>
    <col min="29" max="29" width="13.5703125" customWidth="1"/>
    <col min="30" max="30" width="8.140625" customWidth="1"/>
    <col min="31" max="31" width="12" customWidth="1"/>
    <col min="32" max="32" width="13.28515625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86" t="s">
        <v>179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 ht="7.5" customHeight="1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42">
        <v>5585406.04</v>
      </c>
      <c r="H18" s="42">
        <v>12615676.93</v>
      </c>
      <c r="I18" s="32"/>
      <c r="J18" s="32">
        <v>0</v>
      </c>
      <c r="K18" s="32">
        <f>SUM(G18:J18)</f>
        <v>18201082.969999999</v>
      </c>
      <c r="L18" s="42">
        <v>47380.160000000003</v>
      </c>
      <c r="M18" s="42">
        <v>5097420.0199999996</v>
      </c>
      <c r="N18" s="42">
        <v>0</v>
      </c>
      <c r="O18" s="42">
        <v>0</v>
      </c>
      <c r="P18" s="32">
        <f>SUM(L18:O18)</f>
        <v>5144800.18</v>
      </c>
      <c r="Q18" s="32">
        <v>0</v>
      </c>
      <c r="R18" s="32">
        <v>1124104.17</v>
      </c>
      <c r="S18" s="32">
        <v>0</v>
      </c>
      <c r="T18" s="32">
        <v>2804530.5</v>
      </c>
      <c r="U18" s="32">
        <f>SUM(Q18:T18)</f>
        <v>3928634.67</v>
      </c>
      <c r="V18" s="32">
        <f>+P18+U18</f>
        <v>9073434.8499999996</v>
      </c>
      <c r="W18" s="32">
        <f>+K18+V18</f>
        <v>27274517.82</v>
      </c>
      <c r="X18" s="32"/>
      <c r="Y18" s="32"/>
      <c r="Z18" s="32"/>
      <c r="AA18" s="32">
        <f>SUM(X18:Z18)</f>
        <v>0</v>
      </c>
      <c r="AB18" s="32">
        <f>+G18+L18+Q18+X18</f>
        <v>5632786.2000000002</v>
      </c>
      <c r="AC18" s="42">
        <f>+H18+M18+R18+Y18</f>
        <v>18837201.119999997</v>
      </c>
      <c r="AD18" s="32">
        <f>+I18+N18+S18</f>
        <v>0</v>
      </c>
      <c r="AE18" s="32">
        <f>+J18+O18+T18+Z18</f>
        <v>2804530.5</v>
      </c>
      <c r="AF18" s="32">
        <f>SUM(AB18:AE18)</f>
        <v>27274517.819999997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15714750.33</v>
      </c>
      <c r="H19" s="32">
        <v>9510348.0700000003</v>
      </c>
      <c r="I19" s="32"/>
      <c r="J19" s="32">
        <v>169187.35</v>
      </c>
      <c r="K19" s="32">
        <f t="shared" ref="K19:K29" si="0">SUM(G19:J19)</f>
        <v>25394285.75</v>
      </c>
      <c r="L19" s="32">
        <v>61971</v>
      </c>
      <c r="M19" s="32">
        <v>46705.86</v>
      </c>
      <c r="N19" s="32">
        <v>0</v>
      </c>
      <c r="O19" s="32">
        <v>0</v>
      </c>
      <c r="P19" s="32">
        <f t="shared" ref="P19:P29" si="1">SUM(L19:O19)</f>
        <v>108676.86</v>
      </c>
      <c r="Q19" s="32">
        <v>0</v>
      </c>
      <c r="R19" s="32">
        <v>1040099.76</v>
      </c>
      <c r="S19" s="32">
        <v>0</v>
      </c>
      <c r="T19" s="32"/>
      <c r="U19" s="32">
        <f t="shared" ref="U19:U29" si="2">SUM(Q19:T19)</f>
        <v>1040099.76</v>
      </c>
      <c r="V19" s="32">
        <f t="shared" ref="V19:V29" si="3">+P19+U19</f>
        <v>1148776.6200000001</v>
      </c>
      <c r="W19" s="32">
        <f t="shared" ref="W19:W29" si="4">+K19+V19</f>
        <v>26543062.370000001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15776721.33</v>
      </c>
      <c r="AC19" s="32">
        <f t="shared" si="6"/>
        <v>10597153.689999999</v>
      </c>
      <c r="AD19" s="32">
        <f t="shared" ref="AD19:AD29" si="7">+I19+N19+S19</f>
        <v>0</v>
      </c>
      <c r="AE19" s="32">
        <f t="shared" ref="AE19:AE29" si="8">+J19+O19+T19+Z19</f>
        <v>169187.35</v>
      </c>
      <c r="AF19" s="32">
        <f t="shared" ref="AF19:AF29" si="9">SUM(AB19:AE19)</f>
        <v>26543062.370000001</v>
      </c>
      <c r="AG19" s="10"/>
      <c r="AH19" s="18">
        <f t="shared" ref="AH19:AH29" si="10">+W19+AA19-AF19</f>
        <v>0</v>
      </c>
      <c r="AJ19" s="66">
        <f>+AF18+AF19</f>
        <v>53817580.189999998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3159475.02</v>
      </c>
      <c r="H23" s="42">
        <v>2344844.35</v>
      </c>
      <c r="I23" s="42"/>
      <c r="J23" s="42">
        <v>701931.43</v>
      </c>
      <c r="K23" s="42">
        <f t="shared" si="0"/>
        <v>6206250.7999999998</v>
      </c>
      <c r="L23" s="42">
        <v>0</v>
      </c>
      <c r="M23" s="42">
        <v>1351974.01</v>
      </c>
      <c r="N23" s="42">
        <v>0</v>
      </c>
      <c r="O23" s="42">
        <v>85402.66</v>
      </c>
      <c r="P23" s="42">
        <f t="shared" si="1"/>
        <v>1437376.67</v>
      </c>
      <c r="Q23" s="42">
        <v>0</v>
      </c>
      <c r="R23" s="42">
        <v>368220.83</v>
      </c>
      <c r="S23" s="42">
        <v>0</v>
      </c>
      <c r="T23" s="42">
        <v>396915.55</v>
      </c>
      <c r="U23" s="42">
        <f t="shared" si="2"/>
        <v>765136.38</v>
      </c>
      <c r="V23" s="42">
        <f t="shared" si="3"/>
        <v>2202513.0499999998</v>
      </c>
      <c r="W23" s="42">
        <f t="shared" si="4"/>
        <v>8408763.8499999996</v>
      </c>
      <c r="X23" s="42"/>
      <c r="Y23" s="42"/>
      <c r="Z23" s="42"/>
      <c r="AA23" s="42">
        <f t="shared" si="5"/>
        <v>0</v>
      </c>
      <c r="AB23" s="42">
        <f t="shared" si="6"/>
        <v>3159475.02</v>
      </c>
      <c r="AC23" s="42">
        <f t="shared" si="6"/>
        <v>4065039.1900000004</v>
      </c>
      <c r="AD23" s="42">
        <f t="shared" si="7"/>
        <v>0</v>
      </c>
      <c r="AE23" s="42">
        <f t="shared" si="8"/>
        <v>1184249.6400000001</v>
      </c>
      <c r="AF23" s="42">
        <f t="shared" si="9"/>
        <v>8408763.8500000015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53817580.189999998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24459631.390000001</v>
      </c>
      <c r="H31" s="33">
        <f t="shared" ref="H31:AH31" si="11">SUM(H18:H29)</f>
        <v>24470869.350000001</v>
      </c>
      <c r="I31" s="33">
        <f t="shared" si="11"/>
        <v>0</v>
      </c>
      <c r="J31" s="33">
        <f t="shared" si="11"/>
        <v>871118.78</v>
      </c>
      <c r="K31" s="33">
        <f t="shared" si="11"/>
        <v>49801619.519999996</v>
      </c>
      <c r="L31" s="33">
        <f t="shared" si="11"/>
        <v>109351.16</v>
      </c>
      <c r="M31" s="33">
        <f t="shared" si="11"/>
        <v>6496099.8899999997</v>
      </c>
      <c r="N31" s="33">
        <f t="shared" si="11"/>
        <v>0</v>
      </c>
      <c r="O31" s="33">
        <f t="shared" si="11"/>
        <v>85402.66</v>
      </c>
      <c r="P31" s="33">
        <f t="shared" si="11"/>
        <v>6690853.71</v>
      </c>
      <c r="Q31" s="33">
        <f t="shared" si="11"/>
        <v>0</v>
      </c>
      <c r="R31" s="33">
        <f t="shared" si="11"/>
        <v>2532424.7599999998</v>
      </c>
      <c r="S31" s="33">
        <f t="shared" si="11"/>
        <v>0</v>
      </c>
      <c r="T31" s="33">
        <f t="shared" si="11"/>
        <v>3201446.05</v>
      </c>
      <c r="U31" s="33">
        <f t="shared" si="11"/>
        <v>5733870.8099999996</v>
      </c>
      <c r="V31" s="33">
        <f t="shared" si="11"/>
        <v>12424724.52</v>
      </c>
      <c r="W31" s="33">
        <f t="shared" si="11"/>
        <v>62226344.039999999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24568982.550000001</v>
      </c>
      <c r="AC31" s="33">
        <f t="shared" si="11"/>
        <v>33499393.999999996</v>
      </c>
      <c r="AD31" s="33">
        <f t="shared" si="11"/>
        <v>0</v>
      </c>
      <c r="AE31" s="33">
        <f t="shared" si="11"/>
        <v>4157967.49</v>
      </c>
      <c r="AF31" s="33">
        <f t="shared" si="11"/>
        <v>62226344.039999999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5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ht="6.75" customHeight="1">
      <c r="B34" s="136"/>
    </row>
    <row r="35" spans="1:34" ht="10.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</row>
    <row r="36" spans="1:34">
      <c r="A36" s="3"/>
      <c r="B36" s="28" t="s">
        <v>33</v>
      </c>
      <c r="C36" s="28"/>
      <c r="D36" s="16"/>
      <c r="E36" s="16"/>
      <c r="F36" s="16"/>
      <c r="G36" s="116" t="s">
        <v>189</v>
      </c>
      <c r="H36" s="116"/>
      <c r="I36" s="116"/>
      <c r="J36" s="134"/>
      <c r="K36" s="116" t="s">
        <v>177</v>
      </c>
      <c r="L36" s="116"/>
      <c r="M36" s="16"/>
      <c r="N36" s="137" t="s">
        <v>178</v>
      </c>
      <c r="T36" s="16"/>
      <c r="U36" s="16"/>
      <c r="V36" s="16"/>
      <c r="W36" s="176"/>
      <c r="X36" s="176"/>
      <c r="Y36" s="176"/>
      <c r="Z36" s="179"/>
      <c r="AA36" s="179"/>
      <c r="AB36" s="16"/>
      <c r="AC36" s="16"/>
      <c r="AE36" s="18"/>
      <c r="AF36" s="159"/>
    </row>
    <row r="37" spans="1:34" ht="18.75">
      <c r="A37" s="3"/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/>
      <c r="O37" s="16"/>
      <c r="P37" s="16"/>
      <c r="T37" s="16"/>
      <c r="U37" s="16"/>
      <c r="V37" s="16"/>
      <c r="W37" s="106"/>
      <c r="X37" s="22"/>
      <c r="Y37" s="22"/>
      <c r="Z37" s="22"/>
      <c r="AA37" s="22"/>
      <c r="AB37" s="22"/>
      <c r="AC37" s="22"/>
      <c r="AD37" s="43"/>
      <c r="AH37" s="18"/>
    </row>
    <row r="38" spans="1:34">
      <c r="A38" s="3"/>
      <c r="B38" s="16"/>
      <c r="C38" s="16"/>
      <c r="D38" s="16" t="s">
        <v>103</v>
      </c>
      <c r="E38" s="16"/>
      <c r="F38" s="16"/>
      <c r="G38" s="25"/>
      <c r="H38" s="22">
        <f>SUM(G39:G47)</f>
        <v>808437240</v>
      </c>
      <c r="I38" s="22"/>
      <c r="J38" s="22"/>
      <c r="K38" s="59">
        <f>SUM(J39:J47)</f>
        <v>91467000</v>
      </c>
      <c r="L38" s="22"/>
      <c r="M38" s="22"/>
      <c r="N38" s="120">
        <f>SUM(M39:M47)</f>
        <v>899904240</v>
      </c>
      <c r="O38" s="22"/>
      <c r="P38" s="22"/>
      <c r="Q38" s="20"/>
      <c r="R38" s="43"/>
      <c r="T38" s="16"/>
      <c r="U38" s="16"/>
      <c r="V38" s="16"/>
      <c r="W38" s="25"/>
      <c r="X38" s="22"/>
      <c r="Y38" s="22"/>
      <c r="Z38" s="22"/>
      <c r="AA38" s="22"/>
      <c r="AB38" s="22"/>
      <c r="AC38" s="22"/>
      <c r="AD38" s="43"/>
    </row>
    <row r="39" spans="1:34">
      <c r="A39" s="3"/>
      <c r="B39" s="16"/>
      <c r="C39" s="16"/>
      <c r="D39" s="121" t="s">
        <v>97</v>
      </c>
      <c r="E39" s="16"/>
      <c r="F39" s="16"/>
      <c r="G39" s="22">
        <v>711376000</v>
      </c>
      <c r="H39" s="22"/>
      <c r="I39" s="22"/>
      <c r="J39" s="40">
        <v>0</v>
      </c>
      <c r="K39" s="22"/>
      <c r="L39" s="22"/>
      <c r="M39" s="22">
        <f>89000000+93488000+163160000+120179000+128747000+116802000</f>
        <v>711376000</v>
      </c>
      <c r="N39" s="122"/>
      <c r="O39" s="22"/>
      <c r="P39" s="22"/>
      <c r="Q39" s="20"/>
      <c r="T39" s="16"/>
      <c r="U39" s="16"/>
      <c r="V39" s="16"/>
      <c r="W39" s="25"/>
      <c r="X39" s="51"/>
      <c r="Y39" s="51"/>
      <c r="Z39" s="51"/>
      <c r="AA39" s="51"/>
      <c r="AB39" s="51"/>
      <c r="AC39" s="51"/>
      <c r="AD39" s="19"/>
    </row>
    <row r="40" spans="1:34">
      <c r="A40" s="3"/>
      <c r="B40" s="16"/>
      <c r="C40" s="16"/>
      <c r="D40" s="121" t="s">
        <v>100</v>
      </c>
      <c r="E40" s="16"/>
      <c r="F40" s="16"/>
      <c r="G40" s="22">
        <v>12152000</v>
      </c>
      <c r="H40" s="22"/>
      <c r="I40" s="22"/>
      <c r="J40" s="22">
        <v>0</v>
      </c>
      <c r="K40" s="22"/>
      <c r="L40" s="22"/>
      <c r="M40" s="22">
        <f>2026000+2025000+2025000+2026000+2025000+2025000</f>
        <v>12152000</v>
      </c>
      <c r="N40" s="122"/>
      <c r="O40" s="22"/>
      <c r="P40" s="22"/>
      <c r="Q40" s="20"/>
      <c r="T40" t="s">
        <v>44</v>
      </c>
      <c r="V40" s="20"/>
      <c r="W40" s="20"/>
      <c r="X40" s="20"/>
      <c r="Y40" s="20"/>
      <c r="Z40" t="s">
        <v>47</v>
      </c>
      <c r="AA40" s="20"/>
      <c r="AB40" s="51"/>
      <c r="AC40" s="51"/>
      <c r="AD40" s="19"/>
    </row>
    <row r="41" spans="1:34">
      <c r="A41" s="3"/>
      <c r="B41" s="16"/>
      <c r="C41" s="16"/>
      <c r="D41" s="121" t="s">
        <v>167</v>
      </c>
      <c r="E41" s="16"/>
      <c r="F41" s="16"/>
      <c r="G41" s="22">
        <v>79358000</v>
      </c>
      <c r="H41" s="22"/>
      <c r="I41" s="22"/>
      <c r="J41" s="22">
        <v>89441000</v>
      </c>
      <c r="K41" s="22"/>
      <c r="L41" s="22"/>
      <c r="M41" s="22">
        <f>79358000+89441000</f>
        <v>168799000</v>
      </c>
      <c r="N41" s="122"/>
      <c r="O41" s="22"/>
      <c r="P41" s="22"/>
      <c r="Q41" s="20"/>
      <c r="V41" s="20"/>
      <c r="W41" s="20"/>
      <c r="X41" s="20"/>
      <c r="Y41" s="20"/>
      <c r="AA41" s="20"/>
      <c r="AB41" s="51"/>
      <c r="AC41" s="51"/>
      <c r="AD41" s="19"/>
    </row>
    <row r="42" spans="1:34">
      <c r="A42" s="3"/>
      <c r="B42" s="16"/>
      <c r="C42" s="16"/>
      <c r="D42" s="121" t="s">
        <v>168</v>
      </c>
      <c r="E42" s="16"/>
      <c r="F42" s="16"/>
      <c r="G42" s="22">
        <v>2026000</v>
      </c>
      <c r="H42" s="22"/>
      <c r="I42" s="22"/>
      <c r="J42" s="22">
        <v>2026000</v>
      </c>
      <c r="K42" s="22"/>
      <c r="L42" s="22"/>
      <c r="M42" s="22">
        <f>2026000+2026000</f>
        <v>4052000</v>
      </c>
      <c r="N42" s="122"/>
      <c r="O42" s="22"/>
      <c r="P42" s="22"/>
      <c r="Q42" s="20"/>
      <c r="V42" s="20"/>
      <c r="W42" s="20"/>
      <c r="X42" s="20"/>
      <c r="Y42" s="20"/>
      <c r="AA42" s="20"/>
      <c r="AB42" s="51"/>
      <c r="AC42" s="51"/>
      <c r="AD42" s="19"/>
    </row>
    <row r="43" spans="1:34">
      <c r="A43" s="3"/>
      <c r="B43" s="16"/>
      <c r="C43" s="16"/>
      <c r="D43" s="16" t="s">
        <v>104</v>
      </c>
      <c r="E43" s="16"/>
      <c r="F43" s="16"/>
      <c r="G43" s="22"/>
      <c r="H43" s="22"/>
      <c r="I43" s="22"/>
      <c r="J43" s="22">
        <v>0</v>
      </c>
      <c r="K43" s="22"/>
      <c r="L43" s="22"/>
      <c r="M43" s="22"/>
      <c r="N43" s="122"/>
      <c r="O43" s="22"/>
      <c r="P43" s="22"/>
      <c r="Q43" s="20"/>
      <c r="V43" s="20"/>
      <c r="W43" s="20"/>
      <c r="X43" s="20"/>
      <c r="Y43" s="20"/>
      <c r="AA43" s="20"/>
      <c r="AB43" s="31"/>
      <c r="AC43" s="51"/>
      <c r="AD43" s="19"/>
    </row>
    <row r="44" spans="1:34">
      <c r="A44" s="3"/>
      <c r="B44" s="16"/>
      <c r="C44" s="16"/>
      <c r="D44" s="121" t="s">
        <v>105</v>
      </c>
      <c r="E44" s="16"/>
      <c r="F44" s="16"/>
      <c r="G44" s="22">
        <f>94823+94698</f>
        <v>189521</v>
      </c>
      <c r="H44" s="22"/>
      <c r="I44" s="22"/>
      <c r="J44" s="22">
        <v>0</v>
      </c>
      <c r="K44" s="22"/>
      <c r="L44" s="22"/>
      <c r="M44" s="22">
        <f>94823+94698</f>
        <v>189521</v>
      </c>
      <c r="N44" s="122"/>
      <c r="O44" s="22"/>
      <c r="P44" s="22"/>
      <c r="Q44" s="20"/>
      <c r="T44" s="38" t="s">
        <v>49</v>
      </c>
      <c r="Z44" s="38" t="s">
        <v>72</v>
      </c>
      <c r="AB44" s="31"/>
      <c r="AC44" s="51"/>
      <c r="AD44" s="19"/>
    </row>
    <row r="45" spans="1:34">
      <c r="A45" s="3"/>
      <c r="B45" s="16"/>
      <c r="C45" s="16"/>
      <c r="D45" s="121" t="s">
        <v>129</v>
      </c>
      <c r="E45" s="16"/>
      <c r="F45" s="16"/>
      <c r="G45" s="22">
        <v>85598</v>
      </c>
      <c r="H45" s="22"/>
      <c r="I45" s="22"/>
      <c r="J45" s="22">
        <v>0</v>
      </c>
      <c r="K45" s="22"/>
      <c r="L45" s="22"/>
      <c r="M45" s="22">
        <v>85598</v>
      </c>
      <c r="N45" s="122"/>
      <c r="O45" s="22"/>
      <c r="P45" s="22"/>
      <c r="Q45" s="20"/>
      <c r="T45" t="s">
        <v>46</v>
      </c>
      <c r="Z45" t="s">
        <v>71</v>
      </c>
      <c r="AB45" s="31"/>
      <c r="AC45" s="51"/>
      <c r="AD45" s="19"/>
    </row>
    <row r="46" spans="1:34">
      <c r="A46" s="3"/>
      <c r="B46" s="16"/>
      <c r="C46" s="16"/>
      <c r="D46" s="121" t="s">
        <v>130</v>
      </c>
      <c r="E46" s="16"/>
      <c r="F46" s="16"/>
      <c r="G46" s="22">
        <v>670162</v>
      </c>
      <c r="H46" s="22"/>
      <c r="I46" s="22"/>
      <c r="J46" s="22">
        <v>0</v>
      </c>
      <c r="K46" s="22"/>
      <c r="L46" s="22"/>
      <c r="M46" s="22">
        <v>670162</v>
      </c>
      <c r="N46" s="122"/>
      <c r="O46" s="22"/>
      <c r="P46" s="22"/>
      <c r="Q46" s="20"/>
      <c r="T46" t="s">
        <v>45</v>
      </c>
      <c r="Z46" t="s">
        <v>48</v>
      </c>
      <c r="AB46" s="31"/>
      <c r="AC46" s="51"/>
      <c r="AD46" s="19"/>
    </row>
    <row r="47" spans="1:34">
      <c r="A47" s="3"/>
      <c r="B47" s="16"/>
      <c r="C47" s="16"/>
      <c r="D47" s="121" t="s">
        <v>155</v>
      </c>
      <c r="E47" s="16"/>
      <c r="F47" s="16"/>
      <c r="G47" s="21">
        <v>2579959</v>
      </c>
      <c r="H47" s="22"/>
      <c r="I47" s="22"/>
      <c r="J47" s="21">
        <v>0</v>
      </c>
      <c r="K47" s="22"/>
      <c r="L47" s="22"/>
      <c r="M47" s="21">
        <v>2579959</v>
      </c>
      <c r="N47" s="122"/>
      <c r="O47" s="22"/>
      <c r="P47" s="22"/>
      <c r="Q47" s="20"/>
      <c r="AB47" s="31"/>
      <c r="AC47" s="51"/>
      <c r="AD47" s="19"/>
    </row>
    <row r="48" spans="1:34">
      <c r="A48" s="3"/>
      <c r="B48" s="16"/>
      <c r="C48" s="16"/>
      <c r="D48" s="16" t="s">
        <v>35</v>
      </c>
      <c r="E48" s="16"/>
      <c r="F48" s="16"/>
      <c r="G48" s="22"/>
      <c r="H48" s="22">
        <v>0</v>
      </c>
      <c r="I48" s="22"/>
      <c r="J48" s="22"/>
      <c r="K48" s="22">
        <v>0</v>
      </c>
      <c r="L48" s="22"/>
      <c r="M48" s="22"/>
      <c r="N48" s="122"/>
      <c r="O48" s="22"/>
      <c r="P48" s="22"/>
      <c r="Q48" s="20"/>
      <c r="Z48" t="s">
        <v>45</v>
      </c>
      <c r="AB48" s="31"/>
      <c r="AC48" s="22"/>
      <c r="AD48" s="25"/>
      <c r="AE48" s="16"/>
      <c r="AF48" s="16"/>
    </row>
    <row r="49" spans="1:32">
      <c r="A49" s="3"/>
      <c r="B49" s="16"/>
      <c r="C49" s="16"/>
      <c r="D49" s="16" t="s">
        <v>36</v>
      </c>
      <c r="E49" s="16"/>
      <c r="F49" s="16"/>
      <c r="G49" s="25"/>
      <c r="H49" s="22">
        <f>21817245.73+6579604.91+4439371.24+5090156.83</f>
        <v>37926378.710000001</v>
      </c>
      <c r="I49" s="22"/>
      <c r="J49" s="22"/>
      <c r="K49" s="59">
        <f>+AF23</f>
        <v>8408763.8500000015</v>
      </c>
      <c r="L49" s="22"/>
      <c r="M49" s="22"/>
      <c r="N49" s="122">
        <f>6514818+3759574.58+7395098.56+4147754.59+6579604.91+4439371.24+5090156.83+8408763.85</f>
        <v>46335142.560000002</v>
      </c>
      <c r="O49" s="22"/>
      <c r="P49" s="22"/>
      <c r="Q49" s="20"/>
      <c r="R49" s="18"/>
      <c r="W49" s="19"/>
      <c r="X49" s="51"/>
      <c r="Y49" s="31"/>
      <c r="Z49" s="31"/>
      <c r="AA49" s="51"/>
      <c r="AB49" s="31"/>
      <c r="AC49" s="51"/>
      <c r="AD49" s="25"/>
      <c r="AE49" s="16"/>
      <c r="AF49" s="16"/>
    </row>
    <row r="50" spans="1:32">
      <c r="A50" s="3"/>
      <c r="B50" s="16"/>
      <c r="C50" s="16"/>
      <c r="D50" s="16" t="s">
        <v>37</v>
      </c>
      <c r="E50" s="16"/>
      <c r="F50" s="16"/>
      <c r="G50" s="25"/>
      <c r="H50" s="22">
        <v>0</v>
      </c>
      <c r="I50" s="22"/>
      <c r="J50" s="22"/>
      <c r="K50" s="22">
        <v>0</v>
      </c>
      <c r="L50" s="22"/>
      <c r="M50" s="22"/>
      <c r="N50" s="122"/>
      <c r="O50" s="22"/>
      <c r="P50" s="22"/>
      <c r="Q50" s="20"/>
      <c r="W50" s="19"/>
      <c r="X50" s="22"/>
      <c r="Y50" s="20"/>
      <c r="Z50" s="20"/>
      <c r="AA50" s="20"/>
      <c r="AB50" s="20"/>
      <c r="AC50" s="22"/>
      <c r="AD50" s="25"/>
      <c r="AE50" s="16"/>
      <c r="AF50" s="16"/>
    </row>
    <row r="51" spans="1:32" ht="14.25" customHeight="1">
      <c r="A51" s="3"/>
      <c r="B51" s="16"/>
      <c r="C51" s="16"/>
      <c r="D51" s="16" t="s">
        <v>38</v>
      </c>
      <c r="E51" s="16"/>
      <c r="F51" s="16"/>
      <c r="G51" s="25"/>
      <c r="H51" s="22">
        <v>0</v>
      </c>
      <c r="I51" s="22"/>
      <c r="J51" s="22"/>
      <c r="K51" s="22">
        <v>0</v>
      </c>
      <c r="L51" s="22"/>
      <c r="M51" s="22"/>
      <c r="N51" s="122"/>
      <c r="O51" s="22"/>
      <c r="P51" s="22"/>
      <c r="Q51" s="20"/>
      <c r="S51" s="39"/>
      <c r="T51" s="39"/>
      <c r="W51" s="19"/>
      <c r="X51" s="22"/>
      <c r="Y51" s="20"/>
      <c r="Z51" s="20"/>
      <c r="AA51" s="20"/>
      <c r="AB51" s="20"/>
      <c r="AC51" s="22"/>
      <c r="AD51" s="25"/>
      <c r="AE51" s="16"/>
      <c r="AF51" s="16"/>
    </row>
    <row r="52" spans="1:32" ht="13.5" customHeight="1">
      <c r="A52" s="3"/>
      <c r="B52" s="16"/>
      <c r="C52" s="16"/>
      <c r="D52" s="15" t="s">
        <v>39</v>
      </c>
      <c r="E52" s="16"/>
      <c r="F52" s="16"/>
      <c r="G52" s="25"/>
      <c r="H52" s="21">
        <v>0</v>
      </c>
      <c r="I52" s="22"/>
      <c r="J52" s="22"/>
      <c r="K52" s="21">
        <v>0</v>
      </c>
      <c r="L52" s="22"/>
      <c r="M52" s="22"/>
      <c r="N52" s="123"/>
      <c r="O52" s="22"/>
      <c r="P52" s="22"/>
      <c r="Q52" s="20"/>
      <c r="S52" s="39"/>
      <c r="T52" s="39"/>
      <c r="W52" s="19"/>
      <c r="X52" s="22"/>
      <c r="Y52" s="20"/>
      <c r="Z52" s="20"/>
      <c r="AA52" s="20"/>
      <c r="AB52" s="20"/>
      <c r="AC52" s="22"/>
      <c r="AD52" s="25"/>
      <c r="AE52" s="16"/>
      <c r="AF52" s="16"/>
    </row>
    <row r="53" spans="1:32" ht="13.5" customHeight="1">
      <c r="A53" s="3"/>
      <c r="B53" s="16"/>
      <c r="C53" s="16"/>
      <c r="D53" s="16" t="s">
        <v>57</v>
      </c>
      <c r="E53" s="16"/>
      <c r="F53" s="16"/>
      <c r="G53" s="25"/>
      <c r="H53" s="22">
        <f>SUM(H38:H52)</f>
        <v>846363618.71000004</v>
      </c>
      <c r="I53" s="22"/>
      <c r="J53" s="22"/>
      <c r="K53" s="22">
        <f>SUM(K38:K52)</f>
        <v>99875763.849999994</v>
      </c>
      <c r="L53" s="22"/>
      <c r="M53" s="22"/>
      <c r="N53" s="122">
        <f>SUM(N38:N52)</f>
        <v>946239382.55999994</v>
      </c>
      <c r="O53" s="22"/>
      <c r="P53" s="22"/>
      <c r="Q53" s="20"/>
      <c r="R53" s="43"/>
      <c r="S53" s="39"/>
      <c r="T53" s="65"/>
      <c r="U53" s="65"/>
      <c r="V53" s="16"/>
      <c r="W53" s="16"/>
      <c r="X53" s="25"/>
      <c r="Y53" s="20"/>
      <c r="Z53" s="20"/>
      <c r="AA53" s="20"/>
      <c r="AB53" s="20"/>
      <c r="AC53" s="22"/>
      <c r="AD53" s="25"/>
      <c r="AE53" s="16"/>
      <c r="AF53" s="16"/>
    </row>
    <row r="54" spans="1:32">
      <c r="A54" s="3"/>
      <c r="B54" s="16" t="s">
        <v>40</v>
      </c>
      <c r="C54" s="16"/>
      <c r="D54" s="16"/>
      <c r="E54" s="16"/>
      <c r="F54" s="16"/>
      <c r="G54" s="25"/>
      <c r="H54" s="21">
        <v>0</v>
      </c>
      <c r="I54" s="22"/>
      <c r="J54" s="22"/>
      <c r="K54" s="21">
        <v>0</v>
      </c>
      <c r="L54" s="22"/>
      <c r="M54" s="22"/>
      <c r="N54" s="123">
        <v>0</v>
      </c>
      <c r="O54" s="22"/>
      <c r="P54" s="22"/>
      <c r="Q54" s="20"/>
      <c r="S54" s="54"/>
      <c r="T54" s="54"/>
      <c r="U54" s="54"/>
      <c r="V54" s="45"/>
      <c r="W54" s="45"/>
      <c r="X54" s="55"/>
      <c r="Y54" s="22"/>
      <c r="Z54" s="22"/>
      <c r="AA54" s="22"/>
      <c r="AB54" s="22"/>
      <c r="AC54" s="51"/>
      <c r="AD54" s="25"/>
      <c r="AE54" s="16"/>
      <c r="AF54" s="16"/>
    </row>
    <row r="55" spans="1:32" ht="15" customHeight="1">
      <c r="A55" s="3"/>
      <c r="B55" s="28" t="s">
        <v>41</v>
      </c>
      <c r="C55" s="28"/>
      <c r="D55" s="16"/>
      <c r="E55" s="16"/>
      <c r="F55" s="16"/>
      <c r="G55" s="25"/>
      <c r="H55" s="22">
        <f>+H53-H54</f>
        <v>846363618.71000004</v>
      </c>
      <c r="I55" s="22"/>
      <c r="J55" s="22"/>
      <c r="K55" s="22">
        <f>+K53-K54</f>
        <v>99875763.849999994</v>
      </c>
      <c r="L55" s="22"/>
      <c r="M55" s="22"/>
      <c r="N55" s="122">
        <f>+N53-N54</f>
        <v>946239382.55999994</v>
      </c>
      <c r="O55" s="22"/>
      <c r="P55" s="22"/>
      <c r="Q55" s="20"/>
      <c r="R55" s="43"/>
      <c r="S55" s="56"/>
      <c r="T55" s="60"/>
      <c r="U55" s="61"/>
      <c r="V55" s="61"/>
      <c r="W55" s="61"/>
      <c r="X55" s="55"/>
      <c r="Y55" s="20"/>
      <c r="Z55" s="20"/>
      <c r="AA55" s="20"/>
      <c r="AB55" s="20"/>
      <c r="AC55" s="22"/>
      <c r="AD55" s="25"/>
      <c r="AE55" s="16"/>
      <c r="AF55" s="16"/>
    </row>
    <row r="56" spans="1:32" ht="15" customHeight="1">
      <c r="A56" s="3"/>
      <c r="B56" s="16" t="s">
        <v>56</v>
      </c>
      <c r="C56" s="16"/>
      <c r="D56" s="16" t="s">
        <v>163</v>
      </c>
      <c r="E56" s="16"/>
      <c r="F56" s="16"/>
      <c r="G56" s="25"/>
      <c r="H56" s="22">
        <f>-0.04-209773795.28-0.97-1.45</f>
        <v>-209773797.73999998</v>
      </c>
      <c r="I56" s="22"/>
      <c r="J56" s="22"/>
      <c r="K56" s="22">
        <v>0</v>
      </c>
      <c r="L56" s="22"/>
      <c r="M56" s="22"/>
      <c r="N56" s="122">
        <f>-0.04-209773795.28-0.97-1.45</f>
        <v>-209773797.73999998</v>
      </c>
      <c r="O56" s="22"/>
      <c r="P56" s="22"/>
      <c r="Q56" s="20"/>
      <c r="S56" s="56"/>
      <c r="T56" s="60"/>
      <c r="U56" s="61"/>
      <c r="V56" s="61"/>
      <c r="W56" s="61"/>
      <c r="X56" s="55"/>
      <c r="Y56" s="20"/>
      <c r="Z56" s="20"/>
      <c r="AA56" s="20"/>
      <c r="AB56" s="20"/>
      <c r="AC56" s="22"/>
      <c r="AD56" s="25"/>
      <c r="AE56" s="16"/>
      <c r="AF56" s="16"/>
    </row>
    <row r="57" spans="1:32" ht="15" customHeight="1">
      <c r="A57" s="3"/>
      <c r="B57" s="16"/>
      <c r="C57" s="16"/>
      <c r="D57" s="16" t="s">
        <v>164</v>
      </c>
      <c r="E57" s="16"/>
      <c r="F57" s="16"/>
      <c r="G57" s="25"/>
      <c r="H57" s="22">
        <v>-118987443.34999999</v>
      </c>
      <c r="I57" s="22"/>
      <c r="J57" s="22"/>
      <c r="K57" s="22">
        <v>0</v>
      </c>
      <c r="L57" s="22"/>
      <c r="M57" s="22"/>
      <c r="N57" s="122">
        <v>-118987443.34999999</v>
      </c>
      <c r="O57" s="22"/>
      <c r="P57" s="22"/>
      <c r="Q57" s="20"/>
      <c r="S57" s="56"/>
      <c r="T57" s="60"/>
      <c r="U57" s="61"/>
      <c r="V57" s="61"/>
      <c r="W57" s="61"/>
      <c r="X57" s="55"/>
      <c r="Y57" s="20"/>
      <c r="Z57" s="20"/>
      <c r="AA57" s="20"/>
      <c r="AB57" s="20"/>
      <c r="AC57" s="22"/>
      <c r="AD57" s="25"/>
      <c r="AE57" s="16"/>
      <c r="AF57" s="16"/>
    </row>
    <row r="58" spans="1:32" ht="16.5" customHeight="1">
      <c r="A58" s="3"/>
      <c r="B58" s="16"/>
      <c r="C58" s="16"/>
      <c r="D58" s="16" t="s">
        <v>75</v>
      </c>
      <c r="E58" s="16"/>
      <c r="F58" s="16"/>
      <c r="G58" s="25"/>
      <c r="H58" s="22">
        <f>-459395578.34+2329.06+10762.5</f>
        <v>-459382486.77999997</v>
      </c>
      <c r="I58" s="22"/>
      <c r="J58" s="22"/>
      <c r="K58" s="22">
        <f>-AF31</f>
        <v>-62226344.039999999</v>
      </c>
      <c r="L58" s="22">
        <f>+K58+K49</f>
        <v>-53817580.189999998</v>
      </c>
      <c r="M58" s="22"/>
      <c r="N58" s="122">
        <f>-41435530.02-30432815.6-88102173.2+256000-29927199.49-97107198.84-141799344.64-(30847316.55-2329.06-10762.5)-62226344.04</f>
        <v>-521608830.81999999</v>
      </c>
      <c r="O58" s="22"/>
      <c r="P58" s="139"/>
      <c r="Q58" s="22"/>
      <c r="R58" s="43"/>
      <c r="S58" s="57"/>
      <c r="T58" s="61"/>
      <c r="U58" s="61"/>
      <c r="V58" s="40"/>
      <c r="W58" s="40"/>
      <c r="X58" s="55"/>
      <c r="Y58" s="20"/>
      <c r="Z58" s="20"/>
      <c r="AA58" s="20"/>
      <c r="AB58" s="20"/>
      <c r="AC58" s="22"/>
      <c r="AD58" s="25"/>
      <c r="AE58" s="16"/>
      <c r="AF58" s="16"/>
    </row>
    <row r="59" spans="1:32" ht="13.5" customHeight="1">
      <c r="A59" s="3"/>
      <c r="B59" s="28" t="s">
        <v>61</v>
      </c>
      <c r="C59" s="28"/>
      <c r="D59" s="28"/>
      <c r="E59" s="28"/>
      <c r="F59" s="28"/>
      <c r="G59" s="124"/>
      <c r="H59" s="105">
        <f>SUM(H55:H58)</f>
        <v>58219890.840000033</v>
      </c>
      <c r="I59" s="34"/>
      <c r="J59" s="34"/>
      <c r="K59" s="105">
        <f>SUM(K55:K58)</f>
        <v>37649419.809999995</v>
      </c>
      <c r="L59" s="34"/>
      <c r="M59" s="51"/>
      <c r="N59" s="125">
        <f>SUM(N55:N58)</f>
        <v>95869310.649999917</v>
      </c>
      <c r="O59" s="51"/>
      <c r="P59" s="22"/>
      <c r="Q59" s="20"/>
      <c r="R59" s="18"/>
      <c r="S59" s="57"/>
      <c r="T59" s="61"/>
      <c r="U59" s="61"/>
      <c r="V59" s="40"/>
      <c r="W59" s="40"/>
      <c r="X59" s="45"/>
      <c r="AC59" s="18"/>
    </row>
    <row r="60" spans="1:32" ht="11.25" customHeight="1">
      <c r="A60" s="3"/>
      <c r="B60" s="28"/>
      <c r="C60" s="28"/>
      <c r="D60" s="28"/>
      <c r="E60" s="28"/>
      <c r="F60" s="28"/>
      <c r="G60" s="124"/>
      <c r="H60" s="34"/>
      <c r="I60" s="34"/>
      <c r="J60" s="34"/>
      <c r="K60" s="34"/>
      <c r="L60" s="34"/>
      <c r="M60" s="51"/>
      <c r="N60" s="128"/>
      <c r="O60" s="51"/>
      <c r="P60" s="51"/>
      <c r="Q60" s="20"/>
      <c r="R60" s="18"/>
      <c r="S60" s="57"/>
      <c r="T60" s="61"/>
      <c r="U60" s="61"/>
      <c r="V60" s="40"/>
      <c r="W60" s="40"/>
      <c r="X60" s="45"/>
      <c r="AC60" s="18"/>
    </row>
    <row r="61" spans="1:32" ht="13.5" customHeight="1">
      <c r="A61" s="3"/>
      <c r="B61" s="28" t="s">
        <v>74</v>
      </c>
      <c r="C61" s="28"/>
      <c r="D61" s="28"/>
      <c r="E61" s="28"/>
      <c r="F61" s="28"/>
      <c r="G61" s="124"/>
      <c r="H61" s="34">
        <f>101246000+101587000+174589000+131372000+139608000+137278000+137295000</f>
        <v>922975000</v>
      </c>
      <c r="I61" s="34"/>
      <c r="J61" s="34"/>
      <c r="K61" s="118">
        <v>156633000</v>
      </c>
      <c r="L61" s="118"/>
      <c r="M61" s="119"/>
      <c r="N61" s="126">
        <f>101246000+101587000+174589000+131372000+139608000+137278000+137295000+156633000</f>
        <v>1079608000</v>
      </c>
      <c r="O61" s="119"/>
      <c r="P61" s="22"/>
      <c r="Q61" s="20"/>
      <c r="R61" s="18"/>
      <c r="S61" s="57"/>
      <c r="T61" s="61"/>
      <c r="U61" s="61"/>
      <c r="V61" s="40"/>
      <c r="W61" s="40"/>
      <c r="X61" s="45"/>
      <c r="AC61" s="18"/>
    </row>
    <row r="62" spans="1:32" ht="13.5" customHeight="1">
      <c r="A62" s="3"/>
      <c r="B62" s="16" t="s">
        <v>99</v>
      </c>
      <c r="C62" s="28"/>
      <c r="D62" s="28"/>
      <c r="E62" s="28"/>
      <c r="F62" s="28"/>
      <c r="G62" s="124"/>
      <c r="H62" s="107">
        <f>+H58</f>
        <v>-459382486.77999997</v>
      </c>
      <c r="I62" s="107"/>
      <c r="J62" s="107"/>
      <c r="K62" s="107">
        <f>+K58</f>
        <v>-62226344.039999999</v>
      </c>
      <c r="L62" s="107"/>
      <c r="M62" s="22"/>
      <c r="N62" s="127">
        <f>+N58</f>
        <v>-521608830.81999999</v>
      </c>
      <c r="O62" s="22"/>
      <c r="P62" s="22"/>
      <c r="Q62" s="20"/>
      <c r="S62" s="57"/>
      <c r="T62" s="61"/>
      <c r="U62" s="61"/>
      <c r="V62" s="40"/>
      <c r="W62" s="40"/>
      <c r="X62" s="45"/>
      <c r="AC62" s="18"/>
    </row>
    <row r="63" spans="1:32" ht="13.5" customHeight="1">
      <c r="A63" s="3"/>
      <c r="B63" s="28" t="s">
        <v>43</v>
      </c>
      <c r="C63" s="28"/>
      <c r="D63" s="28"/>
      <c r="E63" s="28"/>
      <c r="F63" s="28"/>
      <c r="G63" s="124"/>
      <c r="H63" s="105">
        <f>+H61+H62</f>
        <v>463592513.22000003</v>
      </c>
      <c r="I63" s="34"/>
      <c r="J63" s="34"/>
      <c r="K63" s="105">
        <f>+K61+K62</f>
        <v>94406655.960000008</v>
      </c>
      <c r="L63" s="34"/>
      <c r="M63" s="34"/>
      <c r="N63" s="125">
        <f>+N61+N62:N62</f>
        <v>557999169.18000007</v>
      </c>
      <c r="O63" s="34"/>
      <c r="P63" s="22"/>
      <c r="Q63" s="20"/>
      <c r="S63" s="57"/>
      <c r="T63" s="61"/>
      <c r="U63" s="61"/>
      <c r="V63" s="40"/>
      <c r="W63" s="40"/>
      <c r="X63" s="45"/>
      <c r="AC63" s="18"/>
    </row>
    <row r="64" spans="1:32" ht="13.5" customHeight="1">
      <c r="A64" s="3"/>
      <c r="B64" s="121" t="s">
        <v>42</v>
      </c>
      <c r="C64" s="121"/>
      <c r="D64" s="16"/>
      <c r="E64" s="28"/>
      <c r="F64" s="28"/>
      <c r="G64" s="124"/>
      <c r="H64" s="34"/>
      <c r="I64" s="34"/>
      <c r="J64" s="34"/>
      <c r="K64" s="34"/>
      <c r="L64" s="34"/>
      <c r="M64" s="34"/>
      <c r="N64" s="128"/>
      <c r="O64" s="34"/>
      <c r="P64" s="51"/>
      <c r="Q64" s="20"/>
      <c r="S64" s="57"/>
      <c r="T64" s="61"/>
      <c r="U64" s="61"/>
      <c r="V64" s="40"/>
      <c r="W64" s="40"/>
      <c r="X64" s="45"/>
      <c r="AC64" s="18"/>
    </row>
    <row r="65" spans="1:29" ht="13.5" customHeight="1">
      <c r="A65" s="3"/>
      <c r="B65" s="121" t="s">
        <v>73</v>
      </c>
      <c r="C65" s="121"/>
      <c r="D65" s="16"/>
      <c r="E65" s="28"/>
      <c r="F65" s="28"/>
      <c r="G65" s="124"/>
      <c r="H65" s="34"/>
      <c r="I65" s="34"/>
      <c r="J65" s="34"/>
      <c r="K65" s="34"/>
      <c r="L65" s="34"/>
      <c r="M65" s="34"/>
      <c r="N65" s="128"/>
      <c r="O65" s="34"/>
      <c r="P65" s="34"/>
      <c r="S65" s="57"/>
      <c r="T65" s="61"/>
      <c r="U65" s="61"/>
      <c r="V65" s="40"/>
      <c r="W65" s="40"/>
      <c r="X65" s="45"/>
      <c r="AC65" s="18"/>
    </row>
    <row r="66" spans="1:29" ht="13.5" customHeight="1">
      <c r="A66" s="5"/>
      <c r="B66" s="129"/>
      <c r="C66" s="129" t="s">
        <v>102</v>
      </c>
      <c r="D66" s="15"/>
      <c r="E66" s="130"/>
      <c r="F66" s="130"/>
      <c r="G66" s="131"/>
      <c r="H66" s="132"/>
      <c r="I66" s="132"/>
      <c r="J66" s="132"/>
      <c r="K66" s="132"/>
      <c r="L66" s="132"/>
      <c r="M66" s="132"/>
      <c r="N66" s="133"/>
      <c r="O66" s="16"/>
      <c r="P66" s="16"/>
      <c r="S66" s="57"/>
      <c r="T66" s="61"/>
      <c r="U66" s="61"/>
      <c r="V66" s="40"/>
      <c r="W66" s="40"/>
      <c r="X66" s="45"/>
      <c r="AC66" s="18"/>
    </row>
    <row r="67" spans="1:29" ht="15" customHeight="1">
      <c r="B67" s="26"/>
      <c r="C67" s="26"/>
      <c r="H67" s="20"/>
      <c r="I67" s="20"/>
      <c r="J67" s="20"/>
      <c r="K67" s="20"/>
      <c r="M67" s="20"/>
      <c r="N67" s="20"/>
      <c r="O67" s="134"/>
      <c r="P67" s="16"/>
      <c r="S67" s="56"/>
      <c r="T67" s="60"/>
      <c r="U67" s="61"/>
      <c r="V67" s="40"/>
      <c r="W67" s="63"/>
      <c r="X67" s="45"/>
    </row>
    <row r="68" spans="1:29" ht="15" customHeight="1">
      <c r="B68" s="26"/>
      <c r="C68" s="26"/>
      <c r="D68" s="26"/>
      <c r="H68" s="20"/>
      <c r="I68" s="20"/>
      <c r="J68" s="20"/>
      <c r="K68" s="20"/>
      <c r="M68" s="20"/>
      <c r="N68" s="20"/>
      <c r="O68" s="43"/>
      <c r="S68" s="56"/>
      <c r="T68" s="61"/>
      <c r="U68" s="61"/>
      <c r="V68" s="40"/>
      <c r="W68" s="40"/>
      <c r="X68" s="45"/>
    </row>
    <row r="69" spans="1:29" ht="15" customHeight="1">
      <c r="B69" s="16"/>
      <c r="C69" s="16"/>
      <c r="D69" s="16"/>
      <c r="E69" s="16"/>
      <c r="F69" s="38"/>
      <c r="K69" s="20"/>
      <c r="L69" s="38"/>
      <c r="N69" s="22"/>
      <c r="O69" s="18"/>
      <c r="P69" s="18"/>
      <c r="S69" s="56"/>
      <c r="T69" s="60"/>
      <c r="U69" s="61"/>
      <c r="V69" s="62"/>
      <c r="W69" s="61"/>
      <c r="X69" s="45"/>
    </row>
    <row r="70" spans="1:29" ht="15" customHeight="1">
      <c r="B70" s="28"/>
      <c r="C70" s="28"/>
      <c r="D70" s="16"/>
      <c r="E70" s="16"/>
      <c r="K70" s="20"/>
      <c r="N70" s="51"/>
      <c r="S70" s="57"/>
      <c r="T70" s="61"/>
      <c r="U70" s="61"/>
      <c r="V70" s="40"/>
      <c r="W70" s="40"/>
      <c r="X70" s="45"/>
    </row>
    <row r="71" spans="1:29">
      <c r="K71" s="20"/>
      <c r="N71" s="22"/>
      <c r="S71" s="57"/>
      <c r="T71" s="61"/>
      <c r="U71" s="61"/>
      <c r="V71" s="40"/>
      <c r="W71" s="40"/>
      <c r="X71" s="16"/>
    </row>
    <row r="72" spans="1:29">
      <c r="K72" s="20"/>
      <c r="N72" s="22"/>
      <c r="S72" s="57"/>
      <c r="T72" s="57"/>
      <c r="U72" s="57"/>
      <c r="V72" s="40"/>
      <c r="W72" s="50"/>
    </row>
    <row r="73" spans="1:29">
      <c r="K73" s="20"/>
      <c r="S73" s="56"/>
      <c r="T73" s="56"/>
      <c r="U73" s="57"/>
      <c r="V73" s="62"/>
      <c r="W73" s="57"/>
    </row>
    <row r="74" spans="1:29">
      <c r="K74" s="20"/>
      <c r="M74" s="22"/>
      <c r="N74" s="59"/>
      <c r="S74" s="26"/>
    </row>
    <row r="75" spans="1:29">
      <c r="K75" s="20"/>
      <c r="M75" s="22"/>
      <c r="N75" s="22"/>
    </row>
    <row r="76" spans="1:29">
      <c r="K76" s="20"/>
      <c r="M76" s="22"/>
      <c r="N76" s="22"/>
      <c r="T76" s="39" t="s">
        <v>78</v>
      </c>
      <c r="U76" s="39"/>
      <c r="X76" s="19"/>
      <c r="Y76" s="18"/>
    </row>
    <row r="77" spans="1:29">
      <c r="K77" s="43"/>
      <c r="M77" s="22"/>
      <c r="N77" s="22"/>
      <c r="T77" s="54" t="s">
        <v>64</v>
      </c>
      <c r="U77" s="54"/>
      <c r="V77" s="45"/>
      <c r="W77" s="45"/>
      <c r="X77" s="55"/>
    </row>
    <row r="78" spans="1:29">
      <c r="K78" s="19"/>
      <c r="M78" s="22"/>
      <c r="N78" s="22"/>
      <c r="T78" s="56" t="s">
        <v>180</v>
      </c>
      <c r="U78" s="57"/>
      <c r="V78" s="57"/>
      <c r="W78" s="57"/>
      <c r="X78" s="58"/>
      <c r="Y78" s="18"/>
    </row>
    <row r="79" spans="1:29">
      <c r="K79" s="19"/>
      <c r="M79" s="22"/>
      <c r="N79" s="22"/>
      <c r="T79" s="56"/>
      <c r="U79" s="57"/>
      <c r="V79" s="57"/>
      <c r="W79" s="57"/>
      <c r="X79" s="117"/>
      <c r="Y79" s="91" t="s">
        <v>185</v>
      </c>
      <c r="AB79" s="95" t="s">
        <v>95</v>
      </c>
    </row>
    <row r="80" spans="1:29">
      <c r="K80" s="19"/>
      <c r="M80" s="22"/>
      <c r="N80" s="22"/>
      <c r="S80" s="82" t="s">
        <v>82</v>
      </c>
      <c r="T80" s="83"/>
      <c r="U80" s="84"/>
      <c r="V80" s="103"/>
      <c r="W80" s="84"/>
      <c r="X80" s="85"/>
      <c r="Y80" s="86" t="s">
        <v>182</v>
      </c>
      <c r="AB80" s="112" t="s">
        <v>184</v>
      </c>
    </row>
    <row r="81" spans="11:29">
      <c r="K81" s="19"/>
      <c r="M81" s="22"/>
      <c r="N81" s="22"/>
      <c r="S81" s="89" t="s">
        <v>83</v>
      </c>
      <c r="T81" s="60" t="s">
        <v>80</v>
      </c>
      <c r="U81" s="61" t="s">
        <v>4</v>
      </c>
      <c r="V81" s="40">
        <v>20368</v>
      </c>
      <c r="W81" s="40"/>
      <c r="X81" s="69"/>
      <c r="Y81" s="79"/>
      <c r="AB81" s="96"/>
    </row>
    <row r="82" spans="11:29">
      <c r="K82" s="19"/>
      <c r="M82" s="22"/>
      <c r="N82" s="22"/>
      <c r="S82" s="72"/>
      <c r="T82" s="61"/>
      <c r="U82" s="61" t="s">
        <v>5</v>
      </c>
      <c r="V82" s="40">
        <v>42888</v>
      </c>
      <c r="W82" s="40"/>
      <c r="X82" s="69"/>
      <c r="Y82" s="79"/>
      <c r="AB82" s="96"/>
    </row>
    <row r="83" spans="11:29">
      <c r="K83" s="19"/>
      <c r="M83" s="22"/>
      <c r="N83" s="22"/>
      <c r="S83" s="72"/>
      <c r="T83" s="61"/>
      <c r="U83" s="61" t="s">
        <v>7</v>
      </c>
      <c r="V83" s="48">
        <v>23750</v>
      </c>
      <c r="W83" s="40">
        <f>SUM(V81:V83)</f>
        <v>87006</v>
      </c>
      <c r="X83" s="69"/>
      <c r="Y83" s="80">
        <f>+W83</f>
        <v>87006</v>
      </c>
      <c r="Z83" s="18"/>
      <c r="AB83" s="96"/>
    </row>
    <row r="84" spans="11:29">
      <c r="K84" s="19"/>
      <c r="M84" s="22"/>
      <c r="N84" s="22"/>
      <c r="S84" s="72"/>
      <c r="T84" s="61" t="s">
        <v>158</v>
      </c>
      <c r="U84" s="61" t="s">
        <v>7</v>
      </c>
      <c r="V84" s="40"/>
      <c r="W84" s="40">
        <v>17863</v>
      </c>
      <c r="X84" s="69"/>
      <c r="Y84" s="80"/>
      <c r="Z84" s="18"/>
      <c r="AB84" s="96"/>
    </row>
    <row r="85" spans="11:29">
      <c r="K85" s="19"/>
      <c r="M85" s="22"/>
      <c r="N85" s="22"/>
      <c r="S85" s="72"/>
      <c r="T85" s="61" t="s">
        <v>159</v>
      </c>
      <c r="U85" s="61" t="s">
        <v>7</v>
      </c>
      <c r="V85" s="40"/>
      <c r="W85" s="40">
        <v>1401</v>
      </c>
      <c r="X85" s="69"/>
      <c r="Y85" s="80"/>
      <c r="Z85" s="18"/>
      <c r="AB85" s="96"/>
    </row>
    <row r="86" spans="11:29">
      <c r="K86" s="19"/>
      <c r="M86" s="22"/>
      <c r="N86" s="22"/>
      <c r="S86" s="72"/>
      <c r="T86" s="60" t="s">
        <v>116</v>
      </c>
      <c r="U86" s="61" t="s">
        <v>5</v>
      </c>
      <c r="V86" s="40"/>
      <c r="W86" s="40">
        <v>966</v>
      </c>
      <c r="X86" s="73"/>
      <c r="Y86" s="80">
        <v>966</v>
      </c>
      <c r="Z86" s="18"/>
      <c r="AB86" s="96"/>
    </row>
    <row r="87" spans="11:29">
      <c r="K87" s="19"/>
      <c r="M87" s="22"/>
      <c r="N87" s="22"/>
      <c r="P87" s="43"/>
      <c r="S87" s="70" t="s">
        <v>81</v>
      </c>
      <c r="T87" s="60"/>
      <c r="U87" s="61"/>
      <c r="V87" s="40"/>
      <c r="W87" s="40"/>
      <c r="X87" s="73"/>
      <c r="Y87" s="80"/>
      <c r="Z87" s="18"/>
      <c r="AB87" s="96"/>
    </row>
    <row r="88" spans="11:29">
      <c r="K88" s="19"/>
      <c r="M88" s="22"/>
      <c r="N88" s="22"/>
      <c r="P88" s="43"/>
      <c r="S88" s="72"/>
      <c r="T88" s="60" t="s">
        <v>89</v>
      </c>
      <c r="U88" s="61" t="s">
        <v>4</v>
      </c>
      <c r="V88" s="40">
        <v>0</v>
      </c>
      <c r="W88" s="40"/>
      <c r="X88" s="73"/>
      <c r="Y88" s="80">
        <v>0</v>
      </c>
      <c r="Z88" s="93"/>
      <c r="AA88" s="94"/>
      <c r="AB88" s="110">
        <v>0</v>
      </c>
      <c r="AC88" s="88" t="s">
        <v>98</v>
      </c>
    </row>
    <row r="89" spans="11:29">
      <c r="K89" s="19"/>
      <c r="M89" s="22"/>
      <c r="N89" s="22"/>
      <c r="P89" s="43"/>
      <c r="S89" s="72"/>
      <c r="T89" s="60" t="s">
        <v>90</v>
      </c>
      <c r="U89" s="61" t="s">
        <v>5</v>
      </c>
      <c r="V89" s="48">
        <v>0</v>
      </c>
      <c r="W89" s="40">
        <f>+V88+V89</f>
        <v>0</v>
      </c>
      <c r="X89" s="73"/>
      <c r="Y89" s="80">
        <v>0</v>
      </c>
      <c r="AB89" s="96"/>
    </row>
    <row r="90" spans="11:29">
      <c r="K90" s="19"/>
      <c r="M90" s="22"/>
      <c r="N90" s="22"/>
      <c r="P90" s="43"/>
      <c r="S90" s="60" t="s">
        <v>91</v>
      </c>
      <c r="T90" s="60"/>
      <c r="U90" s="61" t="s">
        <v>4</v>
      </c>
      <c r="V90" s="40"/>
      <c r="W90" s="48">
        <v>2026</v>
      </c>
      <c r="X90" s="71">
        <f>SUM(W83:W90)</f>
        <v>109262</v>
      </c>
      <c r="Y90" s="80">
        <f>+W90</f>
        <v>2026</v>
      </c>
      <c r="Z90" s="88" t="s">
        <v>63</v>
      </c>
      <c r="AB90" s="96"/>
    </row>
    <row r="91" spans="11:29">
      <c r="K91" s="19"/>
      <c r="M91" s="51"/>
      <c r="N91" s="34"/>
      <c r="S91" s="90" t="s">
        <v>84</v>
      </c>
      <c r="T91" s="60"/>
      <c r="U91" s="61"/>
      <c r="V91" s="40"/>
      <c r="W91" s="40"/>
      <c r="X91" s="69"/>
      <c r="Y91" s="79"/>
      <c r="AB91" s="96"/>
    </row>
    <row r="92" spans="11:29">
      <c r="K92" s="19"/>
      <c r="M92" s="51"/>
      <c r="N92" s="34"/>
      <c r="S92" s="87"/>
      <c r="T92" s="60" t="s">
        <v>93</v>
      </c>
      <c r="U92" s="61" t="s">
        <v>4</v>
      </c>
      <c r="V92" s="40"/>
      <c r="W92" s="40">
        <v>0</v>
      </c>
      <c r="X92" s="73"/>
      <c r="Y92" s="80">
        <f>+W92</f>
        <v>0</v>
      </c>
      <c r="AB92" s="96"/>
    </row>
    <row r="93" spans="11:29">
      <c r="K93" s="19"/>
      <c r="M93" s="22"/>
      <c r="N93" s="107"/>
      <c r="S93" s="87"/>
      <c r="T93" s="60" t="s">
        <v>148</v>
      </c>
      <c r="U93" s="61" t="s">
        <v>4</v>
      </c>
      <c r="V93" s="40">
        <v>0</v>
      </c>
      <c r="W93" s="40"/>
      <c r="X93" s="69"/>
      <c r="Y93" s="80">
        <v>0</v>
      </c>
      <c r="AB93" s="96"/>
    </row>
    <row r="94" spans="11:29">
      <c r="K94" s="19"/>
      <c r="M94" s="34"/>
      <c r="N94" s="34"/>
      <c r="S94" s="87"/>
      <c r="T94" s="60"/>
      <c r="U94" s="61" t="s">
        <v>5</v>
      </c>
      <c r="V94" s="48">
        <v>1469</v>
      </c>
      <c r="W94" s="40">
        <f>SUM(V93:V94)</f>
        <v>1469</v>
      </c>
      <c r="X94" s="69"/>
      <c r="Y94" s="80">
        <f>+W94</f>
        <v>1469</v>
      </c>
      <c r="AB94" s="96"/>
    </row>
    <row r="95" spans="11:29">
      <c r="K95" s="19"/>
      <c r="M95" s="34"/>
      <c r="N95" s="34"/>
      <c r="S95" s="87"/>
      <c r="T95" s="60" t="s">
        <v>85</v>
      </c>
      <c r="U95" s="61"/>
      <c r="V95" s="40"/>
      <c r="W95" s="40"/>
      <c r="X95" s="69"/>
      <c r="Y95" s="80"/>
      <c r="AB95" s="96"/>
    </row>
    <row r="96" spans="11:29">
      <c r="K96" s="19"/>
      <c r="M96" s="34"/>
      <c r="N96" s="34"/>
      <c r="S96" s="87"/>
      <c r="T96" s="60"/>
      <c r="U96" s="61" t="s">
        <v>4</v>
      </c>
      <c r="V96" s="40">
        <v>0</v>
      </c>
      <c r="W96" s="40"/>
      <c r="X96" s="69"/>
      <c r="Y96" s="80"/>
      <c r="AB96" s="96"/>
    </row>
    <row r="97" spans="11:29">
      <c r="K97" s="19"/>
      <c r="M97" s="34"/>
      <c r="N97" s="34"/>
      <c r="S97" s="87"/>
      <c r="T97" s="60"/>
      <c r="U97" s="61" t="s">
        <v>5</v>
      </c>
      <c r="V97" s="40">
        <v>0</v>
      </c>
      <c r="W97" s="40"/>
      <c r="X97" s="69"/>
      <c r="Y97" s="80"/>
      <c r="AB97" s="96"/>
    </row>
    <row r="98" spans="11:29">
      <c r="K98" s="19"/>
      <c r="M98" s="34"/>
      <c r="N98" s="34"/>
      <c r="S98" s="87"/>
      <c r="T98" s="60"/>
      <c r="U98" s="61" t="s">
        <v>7</v>
      </c>
      <c r="V98" s="48">
        <v>0</v>
      </c>
      <c r="W98" s="40">
        <f>SUM(V96:V98)</f>
        <v>0</v>
      </c>
      <c r="X98" s="69"/>
      <c r="Y98" s="80">
        <f>+W98</f>
        <v>0</v>
      </c>
      <c r="AB98" s="96"/>
    </row>
    <row r="99" spans="11:29">
      <c r="K99" s="19"/>
      <c r="S99" s="87"/>
      <c r="T99" s="60" t="s">
        <v>171</v>
      </c>
      <c r="U99" s="61"/>
      <c r="V99" s="40"/>
      <c r="W99" s="40"/>
      <c r="X99" s="69"/>
      <c r="Y99" s="79"/>
      <c r="AB99" s="96"/>
    </row>
    <row r="100" spans="11:29">
      <c r="K100" s="19"/>
      <c r="S100" s="87"/>
      <c r="T100" s="60"/>
      <c r="U100" s="61" t="s">
        <v>7</v>
      </c>
      <c r="V100" s="48">
        <v>38011</v>
      </c>
      <c r="W100" s="48">
        <f>SUM(V100:V100)</f>
        <v>38011</v>
      </c>
      <c r="X100" s="74">
        <f>SUM(W92:W100)</f>
        <v>39480</v>
      </c>
      <c r="Y100" s="80"/>
      <c r="AB100" s="96"/>
    </row>
    <row r="101" spans="11:29">
      <c r="K101" s="19"/>
      <c r="S101" s="87"/>
      <c r="T101" s="60" t="s">
        <v>181</v>
      </c>
      <c r="U101" s="60"/>
      <c r="V101" s="63"/>
      <c r="W101" s="63"/>
      <c r="X101" s="73">
        <f>SUM(X90:X100)</f>
        <v>148742</v>
      </c>
      <c r="Y101" s="79"/>
      <c r="AB101" s="96"/>
    </row>
    <row r="102" spans="11:29">
      <c r="K102" s="19"/>
      <c r="S102" s="90" t="s">
        <v>87</v>
      </c>
      <c r="T102" s="61"/>
      <c r="U102" s="61" t="s">
        <v>4</v>
      </c>
      <c r="V102" s="40"/>
      <c r="W102" s="40">
        <v>2263</v>
      </c>
      <c r="X102" s="69"/>
      <c r="Y102" s="79"/>
      <c r="AB102" s="96"/>
    </row>
    <row r="103" spans="11:29">
      <c r="K103" s="19"/>
      <c r="S103" s="87"/>
      <c r="T103" s="61"/>
      <c r="U103" s="61" t="s">
        <v>5</v>
      </c>
      <c r="V103" s="40"/>
      <c r="W103" s="40">
        <v>2378</v>
      </c>
      <c r="X103" s="69"/>
      <c r="Y103" s="79"/>
      <c r="AB103" s="96"/>
    </row>
    <row r="104" spans="11:29">
      <c r="K104" s="19"/>
      <c r="S104" s="87"/>
      <c r="T104" s="61"/>
      <c r="U104" s="61" t="s">
        <v>7</v>
      </c>
      <c r="V104" s="40"/>
      <c r="W104" s="48">
        <v>3250</v>
      </c>
      <c r="X104" s="74">
        <f>SUM(W102:W104)</f>
        <v>7891</v>
      </c>
      <c r="Y104" s="104"/>
      <c r="AB104" s="98"/>
    </row>
    <row r="105" spans="11:29">
      <c r="K105" s="19"/>
      <c r="S105" s="90" t="s">
        <v>88</v>
      </c>
      <c r="T105" s="60"/>
      <c r="U105" s="61"/>
      <c r="V105" s="62"/>
      <c r="W105" s="68"/>
      <c r="X105" s="73">
        <f>+X101+X104</f>
        <v>156633</v>
      </c>
      <c r="Y105" s="80">
        <f>SUM(Y83:Y100)</f>
        <v>91467</v>
      </c>
      <c r="Z105" s="88" t="s">
        <v>183</v>
      </c>
      <c r="AB105" s="111">
        <f>SUM(AB83:AB104)</f>
        <v>0</v>
      </c>
      <c r="AC105" s="88" t="s">
        <v>186</v>
      </c>
    </row>
    <row r="106" spans="11:29">
      <c r="K106" s="19"/>
      <c r="S106" s="75"/>
      <c r="T106" s="76"/>
      <c r="U106" s="76"/>
      <c r="V106" s="76"/>
      <c r="W106" s="77"/>
      <c r="X106" s="78"/>
      <c r="Y106" s="81"/>
      <c r="AB106" s="98"/>
    </row>
    <row r="107" spans="11:29">
      <c r="K107" s="19"/>
      <c r="Y107" s="19"/>
      <c r="AB107" s="43">
        <f>+(Y105+AB105)*1000</f>
        <v>91467000</v>
      </c>
      <c r="AC107" t="s">
        <v>187</v>
      </c>
    </row>
    <row r="108" spans="11:29">
      <c r="K108" s="19"/>
      <c r="X108" s="43"/>
      <c r="Y108" s="43"/>
      <c r="AB108" s="18"/>
    </row>
    <row r="109" spans="11:29">
      <c r="K109" s="19"/>
      <c r="X109" s="43"/>
      <c r="Y109" s="43"/>
    </row>
    <row r="110" spans="11:29">
      <c r="K110" s="19"/>
      <c r="X110" s="43"/>
      <c r="Y110" s="19"/>
    </row>
    <row r="111" spans="11:29">
      <c r="X111" s="43"/>
    </row>
    <row r="112" spans="11:29">
      <c r="X112" s="18"/>
    </row>
  </sheetData>
  <mergeCells count="12">
    <mergeCell ref="AB12:AF12"/>
    <mergeCell ref="Z36:AA36"/>
    <mergeCell ref="A2:R2"/>
    <mergeCell ref="A3:R3"/>
    <mergeCell ref="G12:K12"/>
    <mergeCell ref="L12:V12"/>
    <mergeCell ref="X12:AA12"/>
    <mergeCell ref="A13:F13"/>
    <mergeCell ref="L13:P13"/>
    <mergeCell ref="Q13:U13"/>
    <mergeCell ref="A15:F15"/>
    <mergeCell ref="W36:Y36"/>
  </mergeCells>
  <printOptions horizontalCentered="1"/>
  <pageMargins left="0" right="0" top="0.19" bottom="0" header="0.17" footer="0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13"/>
  <sheetViews>
    <sheetView workbookViewId="0">
      <selection activeCell="O4" sqref="O4"/>
    </sheetView>
  </sheetViews>
  <sheetFormatPr defaultRowHeight="15"/>
  <cols>
    <col min="1" max="1" width="1.28515625" customWidth="1"/>
    <col min="2" max="3" width="5.140625" customWidth="1"/>
    <col min="4" max="4" width="34" customWidth="1"/>
    <col min="5" max="5" width="1.28515625" customWidth="1"/>
    <col min="6" max="6" width="8.42578125" customWidth="1"/>
    <col min="7" max="7" width="12.7109375" customWidth="1"/>
    <col min="8" max="8" width="13.85546875" customWidth="1"/>
    <col min="9" max="9" width="21.28515625" customWidth="1"/>
    <col min="10" max="10" width="12.5703125" customWidth="1"/>
    <col min="11" max="12" width="13.140625" customWidth="1"/>
    <col min="13" max="13" width="12.85546875" customWidth="1"/>
    <col min="14" max="14" width="14.5703125" customWidth="1"/>
    <col min="15" max="15" width="13.7109375" customWidth="1"/>
    <col min="16" max="16" width="13.5703125" customWidth="1"/>
    <col min="17" max="17" width="15" customWidth="1"/>
    <col min="18" max="18" width="12" customWidth="1"/>
    <col min="19" max="19" width="7.85546875" customWidth="1"/>
    <col min="20" max="20" width="14" customWidth="1"/>
    <col min="21" max="22" width="12" customWidth="1"/>
    <col min="23" max="23" width="13.28515625" customWidth="1"/>
    <col min="24" max="24" width="10" customWidth="1"/>
    <col min="25" max="25" width="14.7109375" customWidth="1"/>
    <col min="26" max="26" width="8.28515625" customWidth="1"/>
    <col min="27" max="27" width="8.85546875" customWidth="1"/>
    <col min="28" max="28" width="13.28515625" customWidth="1"/>
    <col min="29" max="29" width="13.5703125" customWidth="1"/>
    <col min="30" max="30" width="8.140625" customWidth="1"/>
    <col min="31" max="31" width="12" customWidth="1"/>
    <col min="32" max="32" width="13.28515625" customWidth="1"/>
    <col min="33" max="33" width="9.140625" customWidth="1"/>
    <col min="34" max="34" width="14.28515625" bestFit="1" customWidth="1"/>
    <col min="36" max="36" width="14.28515625" bestFit="1" customWidth="1"/>
  </cols>
  <sheetData>
    <row r="1" spans="1:33" ht="8.25" customHeight="1">
      <c r="AG1" s="19" t="s">
        <v>51</v>
      </c>
    </row>
    <row r="2" spans="1:33" ht="18.75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41">
        <f ca="1">+NOW()</f>
        <v>43131.595740625002</v>
      </c>
    </row>
    <row r="3" spans="1:33" ht="15.75">
      <c r="A3" s="186" t="s">
        <v>247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ht="4.5" customHeight="1"/>
    <row r="5" spans="1:33">
      <c r="A5" t="s">
        <v>0</v>
      </c>
      <c r="E5" t="s">
        <v>52</v>
      </c>
      <c r="F5" s="29" t="s">
        <v>58</v>
      </c>
    </row>
    <row r="6" spans="1:33">
      <c r="A6" t="s">
        <v>1</v>
      </c>
      <c r="E6" t="s">
        <v>52</v>
      </c>
      <c r="F6" t="s">
        <v>55</v>
      </c>
    </row>
    <row r="7" spans="1:33">
      <c r="A7" t="s">
        <v>2</v>
      </c>
      <c r="E7" t="s">
        <v>52</v>
      </c>
    </row>
    <row r="8" spans="1:33">
      <c r="A8" t="s">
        <v>3</v>
      </c>
      <c r="E8" t="s">
        <v>52</v>
      </c>
      <c r="F8" s="36" t="s">
        <v>59</v>
      </c>
    </row>
    <row r="9" spans="1:33" ht="15.75">
      <c r="A9" t="s">
        <v>53</v>
      </c>
      <c r="E9" t="s">
        <v>52</v>
      </c>
      <c r="F9" s="52" t="s">
        <v>65</v>
      </c>
      <c r="G9" s="49" t="s">
        <v>112</v>
      </c>
      <c r="O9" s="43"/>
    </row>
    <row r="10" spans="1:33" ht="7.5" customHeight="1">
      <c r="M10" s="18"/>
    </row>
    <row r="11" spans="1:33" ht="6.75" customHeight="1"/>
    <row r="12" spans="1:33">
      <c r="A12" s="1"/>
      <c r="B12" s="14"/>
      <c r="C12" s="14"/>
      <c r="D12" s="14"/>
      <c r="E12" s="14"/>
      <c r="F12" s="2"/>
      <c r="G12" s="172" t="s">
        <v>9</v>
      </c>
      <c r="H12" s="172"/>
      <c r="I12" s="172"/>
      <c r="J12" s="172"/>
      <c r="K12" s="173"/>
      <c r="L12" s="171" t="s">
        <v>15</v>
      </c>
      <c r="M12" s="172"/>
      <c r="N12" s="172"/>
      <c r="O12" s="172"/>
      <c r="P12" s="172"/>
      <c r="Q12" s="172"/>
      <c r="R12" s="172"/>
      <c r="S12" s="172"/>
      <c r="T12" s="172"/>
      <c r="U12" s="172"/>
      <c r="V12" s="173"/>
      <c r="W12" s="47"/>
      <c r="X12" s="172" t="s">
        <v>16</v>
      </c>
      <c r="Y12" s="172"/>
      <c r="Z12" s="172"/>
      <c r="AA12" s="173"/>
      <c r="AB12" s="171" t="s">
        <v>17</v>
      </c>
      <c r="AC12" s="172"/>
      <c r="AD12" s="172"/>
      <c r="AE12" s="172"/>
      <c r="AF12" s="173"/>
      <c r="AG12" s="47"/>
    </row>
    <row r="13" spans="1:33">
      <c r="A13" s="178" t="s">
        <v>19</v>
      </c>
      <c r="B13" s="179"/>
      <c r="C13" s="179"/>
      <c r="D13" s="179"/>
      <c r="E13" s="179"/>
      <c r="F13" s="180"/>
      <c r="G13" s="7"/>
      <c r="H13" s="7"/>
      <c r="I13" s="7"/>
      <c r="J13" s="7"/>
      <c r="K13" s="7"/>
      <c r="L13" s="177" t="s">
        <v>10</v>
      </c>
      <c r="M13" s="177"/>
      <c r="N13" s="177"/>
      <c r="O13" s="177"/>
      <c r="P13" s="181"/>
      <c r="Q13" s="182" t="s">
        <v>12</v>
      </c>
      <c r="R13" s="177"/>
      <c r="S13" s="177"/>
      <c r="T13" s="177"/>
      <c r="U13" s="181"/>
      <c r="V13" s="7"/>
      <c r="W13" s="9" t="s">
        <v>14</v>
      </c>
      <c r="X13" s="7"/>
      <c r="Y13" s="7"/>
      <c r="Z13" s="7"/>
      <c r="AA13" s="7"/>
      <c r="AB13" s="7"/>
      <c r="AC13" s="7"/>
      <c r="AD13" s="7"/>
      <c r="AE13" s="7"/>
      <c r="AF13" s="7"/>
      <c r="AG13" s="9" t="s">
        <v>18</v>
      </c>
    </row>
    <row r="14" spans="1:33">
      <c r="A14" s="5"/>
      <c r="B14" s="15"/>
      <c r="C14" s="15"/>
      <c r="D14" s="15"/>
      <c r="E14" s="15"/>
      <c r="F14" s="6"/>
      <c r="G14" s="8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12" t="s">
        <v>4</v>
      </c>
      <c r="M14" s="23" t="s">
        <v>5</v>
      </c>
      <c r="N14" s="12" t="s">
        <v>6</v>
      </c>
      <c r="O14" s="12" t="s">
        <v>7</v>
      </c>
      <c r="P14" s="12" t="s">
        <v>11</v>
      </c>
      <c r="Q14" s="12" t="s">
        <v>4</v>
      </c>
      <c r="R14" s="12" t="s">
        <v>5</v>
      </c>
      <c r="S14" s="12" t="s">
        <v>6</v>
      </c>
      <c r="T14" s="12" t="s">
        <v>7</v>
      </c>
      <c r="U14" s="12" t="s">
        <v>11</v>
      </c>
      <c r="V14" s="9" t="s">
        <v>13</v>
      </c>
      <c r="W14" s="9" t="s">
        <v>13</v>
      </c>
      <c r="X14" s="9" t="s">
        <v>4</v>
      </c>
      <c r="Y14" s="9" t="s">
        <v>5</v>
      </c>
      <c r="Z14" s="9" t="s">
        <v>7</v>
      </c>
      <c r="AA14" s="9" t="s">
        <v>13</v>
      </c>
      <c r="AB14" s="9" t="s">
        <v>4</v>
      </c>
      <c r="AC14" s="9" t="s">
        <v>5</v>
      </c>
      <c r="AD14" s="9" t="s">
        <v>6</v>
      </c>
      <c r="AE14" s="9" t="s">
        <v>7</v>
      </c>
      <c r="AF14" s="9" t="s">
        <v>13</v>
      </c>
      <c r="AG14" s="10"/>
    </row>
    <row r="15" spans="1:33" ht="11.25" customHeight="1">
      <c r="A15" s="183">
        <v>1</v>
      </c>
      <c r="B15" s="184"/>
      <c r="C15" s="184"/>
      <c r="D15" s="184"/>
      <c r="E15" s="184"/>
      <c r="F15" s="185"/>
      <c r="G15" s="13">
        <v>2</v>
      </c>
      <c r="H15" s="13">
        <v>3</v>
      </c>
      <c r="I15" s="13">
        <v>4</v>
      </c>
      <c r="J15" s="13">
        <v>5</v>
      </c>
      <c r="K15" s="13" t="s">
        <v>20</v>
      </c>
      <c r="L15" s="13">
        <v>7</v>
      </c>
      <c r="M15" s="13">
        <v>8</v>
      </c>
      <c r="N15" s="13">
        <v>9</v>
      </c>
      <c r="O15" s="13">
        <v>10</v>
      </c>
      <c r="P15" s="13" t="s">
        <v>54</v>
      </c>
      <c r="Q15" s="13">
        <v>12</v>
      </c>
      <c r="R15" s="13">
        <v>13</v>
      </c>
      <c r="S15" s="13">
        <v>14</v>
      </c>
      <c r="T15" s="13">
        <v>15</v>
      </c>
      <c r="U15" s="13" t="s">
        <v>21</v>
      </c>
      <c r="V15" s="13" t="s">
        <v>22</v>
      </c>
      <c r="W15" s="13" t="s">
        <v>23</v>
      </c>
      <c r="X15" s="13">
        <v>19</v>
      </c>
      <c r="Y15" s="13">
        <v>20</v>
      </c>
      <c r="Z15" s="13">
        <v>21</v>
      </c>
      <c r="AA15" s="13" t="s">
        <v>24</v>
      </c>
      <c r="AB15" s="13">
        <v>23</v>
      </c>
      <c r="AC15" s="13">
        <v>24</v>
      </c>
      <c r="AD15" s="13">
        <v>25</v>
      </c>
      <c r="AE15" s="13">
        <v>26</v>
      </c>
      <c r="AF15" s="13" t="s">
        <v>25</v>
      </c>
      <c r="AG15" s="13">
        <v>28</v>
      </c>
    </row>
    <row r="16" spans="1:33" ht="9" customHeight="1">
      <c r="A16" s="1"/>
      <c r="B16" s="14"/>
      <c r="C16" s="14"/>
      <c r="D16" s="14"/>
      <c r="E16" s="14"/>
      <c r="F16" s="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7">
      <c r="A17" s="3"/>
      <c r="B17" s="16" t="s">
        <v>70</v>
      </c>
      <c r="C17" s="16"/>
      <c r="D17" s="16"/>
      <c r="E17" s="16"/>
      <c r="F17" s="4"/>
      <c r="G17" s="10"/>
      <c r="H17" s="10"/>
      <c r="I17" s="10"/>
      <c r="J17" s="10"/>
      <c r="K17" s="53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7">
      <c r="A18" s="3"/>
      <c r="B18" s="16"/>
      <c r="C18" s="16"/>
      <c r="D18" s="16" t="s">
        <v>26</v>
      </c>
      <c r="E18" s="16"/>
      <c r="F18" s="4"/>
      <c r="G18" s="42">
        <v>10532122.67</v>
      </c>
      <c r="H18" s="42">
        <f>22069053.42-5000-90</f>
        <v>22063963.420000002</v>
      </c>
      <c r="I18" s="32">
        <v>0</v>
      </c>
      <c r="J18" s="32">
        <v>5256005.79</v>
      </c>
      <c r="K18" s="32">
        <f>SUM(G18:J18)</f>
        <v>37852091.880000003</v>
      </c>
      <c r="L18" s="42">
        <v>61971</v>
      </c>
      <c r="M18" s="42">
        <v>0</v>
      </c>
      <c r="N18" s="42">
        <v>0</v>
      </c>
      <c r="O18" s="42">
        <v>0</v>
      </c>
      <c r="P18" s="32">
        <f>SUM(L18:O18)</f>
        <v>61971</v>
      </c>
      <c r="Q18" s="32">
        <v>0</v>
      </c>
      <c r="R18" s="32">
        <v>5319010.01</v>
      </c>
      <c r="S18" s="32">
        <v>0</v>
      </c>
      <c r="T18" s="32">
        <v>494456.26</v>
      </c>
      <c r="U18" s="32">
        <f>SUM(Q18:T18)</f>
        <v>5813466.2699999996</v>
      </c>
      <c r="V18" s="32">
        <f>+P18+U18</f>
        <v>5875437.2699999996</v>
      </c>
      <c r="W18" s="32">
        <f>+K18+V18</f>
        <v>43727529.150000006</v>
      </c>
      <c r="X18" s="32"/>
      <c r="Y18" s="32"/>
      <c r="Z18" s="32"/>
      <c r="AA18" s="32">
        <f>SUM(X18:Z18)</f>
        <v>0</v>
      </c>
      <c r="AB18" s="32">
        <f>+G18+L18+Q18+X18</f>
        <v>10594093.67</v>
      </c>
      <c r="AC18" s="42">
        <f>+H18+M18+R18+Y18</f>
        <v>27382973.43</v>
      </c>
      <c r="AD18" s="32">
        <f>+I18+N18+S18</f>
        <v>0</v>
      </c>
      <c r="AE18" s="32">
        <f>+J18+O18+T18+Z18</f>
        <v>5750462.0499999998</v>
      </c>
      <c r="AF18" s="32">
        <f>SUM(AB18:AE18)</f>
        <v>43727529.149999999</v>
      </c>
      <c r="AG18" s="10"/>
      <c r="AH18" s="18">
        <f>+W18+AA18-AF18</f>
        <v>0</v>
      </c>
      <c r="AJ18" s="67" t="s">
        <v>138</v>
      </c>
    </row>
    <row r="19" spans="1:37">
      <c r="A19" s="3"/>
      <c r="B19" s="16"/>
      <c r="C19" s="16"/>
      <c r="D19" s="16" t="s">
        <v>27</v>
      </c>
      <c r="E19" s="16"/>
      <c r="F19" s="4"/>
      <c r="G19" s="32">
        <v>21460169.370000001</v>
      </c>
      <c r="H19" s="32">
        <v>18944239.969999999</v>
      </c>
      <c r="I19" s="32">
        <v>0</v>
      </c>
      <c r="J19" s="32">
        <v>72563.8</v>
      </c>
      <c r="K19" s="32">
        <f t="shared" ref="K19:K29" si="0">SUM(G19:J19)</f>
        <v>40476973.140000001</v>
      </c>
      <c r="L19" s="32">
        <v>0</v>
      </c>
      <c r="M19" s="32">
        <v>9041.74</v>
      </c>
      <c r="N19" s="32">
        <v>0</v>
      </c>
      <c r="O19" s="32">
        <v>21352684.370000001</v>
      </c>
      <c r="P19" s="32">
        <f t="shared" ref="P19:P29" si="1">SUM(L19:O19)</f>
        <v>21361726.109999999</v>
      </c>
      <c r="Q19" s="32">
        <v>0</v>
      </c>
      <c r="R19" s="32">
        <v>1422896.94</v>
      </c>
      <c r="S19" s="32">
        <v>0</v>
      </c>
      <c r="T19" s="32">
        <v>97064.59</v>
      </c>
      <c r="U19" s="32">
        <f t="shared" ref="U19:U29" si="2">SUM(Q19:T19)</f>
        <v>1519961.53</v>
      </c>
      <c r="V19" s="32">
        <f t="shared" ref="V19:V29" si="3">+P19+U19</f>
        <v>22881687.640000001</v>
      </c>
      <c r="W19" s="32">
        <f t="shared" ref="W19:W29" si="4">+K19+V19</f>
        <v>63358660.780000001</v>
      </c>
      <c r="X19" s="32"/>
      <c r="Y19" s="32"/>
      <c r="Z19" s="32"/>
      <c r="AA19" s="32">
        <f t="shared" ref="AA19:AA29" si="5">SUM(X19:Z19)</f>
        <v>0</v>
      </c>
      <c r="AB19" s="32">
        <f t="shared" ref="AB19:AC29" si="6">+G19+L19+Q19+X19</f>
        <v>21460169.370000001</v>
      </c>
      <c r="AC19" s="32">
        <f t="shared" si="6"/>
        <v>20376178.649999999</v>
      </c>
      <c r="AD19" s="32">
        <f t="shared" ref="AD19:AD29" si="7">+I19+N19+S19</f>
        <v>0</v>
      </c>
      <c r="AE19" s="32">
        <f t="shared" ref="AE19:AE29" si="8">+J19+O19+T19+Z19</f>
        <v>21522312.760000002</v>
      </c>
      <c r="AF19" s="32">
        <f t="shared" ref="AF19:AF29" si="9">SUM(AB19:AE19)</f>
        <v>63358660.780000001</v>
      </c>
      <c r="AG19" s="10"/>
      <c r="AH19" s="18">
        <f t="shared" ref="AH19:AH29" si="10">+W19+AA19-AF19</f>
        <v>0</v>
      </c>
      <c r="AJ19" s="66">
        <f>+AF18+AF19</f>
        <v>107086189.93000001</v>
      </c>
    </row>
    <row r="20" spans="1:37" ht="6" customHeight="1">
      <c r="A20" s="3"/>
      <c r="B20" s="16"/>
      <c r="C20" s="16"/>
      <c r="D20" s="16"/>
      <c r="E20" s="16"/>
      <c r="F20" s="4"/>
      <c r="G20" s="32"/>
      <c r="H20" s="32"/>
      <c r="I20" s="32"/>
      <c r="J20" s="32"/>
      <c r="K20" s="32">
        <f t="shared" si="0"/>
        <v>0</v>
      </c>
      <c r="L20" s="32"/>
      <c r="M20" s="32"/>
      <c r="N20" s="32"/>
      <c r="O20" s="32"/>
      <c r="P20" s="32">
        <f t="shared" si="1"/>
        <v>0</v>
      </c>
      <c r="Q20" s="32"/>
      <c r="R20" s="32"/>
      <c r="S20" s="32"/>
      <c r="T20" s="32"/>
      <c r="U20" s="32">
        <f t="shared" si="2"/>
        <v>0</v>
      </c>
      <c r="V20" s="32">
        <f t="shared" si="3"/>
        <v>0</v>
      </c>
      <c r="W20" s="32">
        <f t="shared" si="4"/>
        <v>0</v>
      </c>
      <c r="X20" s="32"/>
      <c r="Y20" s="32"/>
      <c r="Z20" s="32"/>
      <c r="AA20" s="32">
        <f t="shared" si="5"/>
        <v>0</v>
      </c>
      <c r="AB20" s="32">
        <f t="shared" si="6"/>
        <v>0</v>
      </c>
      <c r="AC20" s="32">
        <f t="shared" si="6"/>
        <v>0</v>
      </c>
      <c r="AD20" s="32">
        <f t="shared" si="7"/>
        <v>0</v>
      </c>
      <c r="AE20" s="32">
        <f t="shared" si="8"/>
        <v>0</v>
      </c>
      <c r="AF20" s="32">
        <f t="shared" si="9"/>
        <v>0</v>
      </c>
      <c r="AG20" s="10"/>
      <c r="AH20" s="18">
        <f t="shared" si="10"/>
        <v>0</v>
      </c>
    </row>
    <row r="21" spans="1:37">
      <c r="A21" s="3"/>
      <c r="B21" s="16" t="s">
        <v>28</v>
      </c>
      <c r="C21" s="16"/>
      <c r="D21" s="16"/>
      <c r="E21" s="16"/>
      <c r="F21" s="4"/>
      <c r="G21" s="32"/>
      <c r="H21" s="32"/>
      <c r="I21" s="32"/>
      <c r="J21" s="32"/>
      <c r="K21" s="32">
        <f t="shared" si="0"/>
        <v>0</v>
      </c>
      <c r="L21" s="32"/>
      <c r="M21" s="32"/>
      <c r="N21" s="32"/>
      <c r="O21" s="32"/>
      <c r="P21" s="32">
        <f t="shared" si="1"/>
        <v>0</v>
      </c>
      <c r="Q21" s="32"/>
      <c r="R21" s="32"/>
      <c r="S21" s="32"/>
      <c r="T21" s="32"/>
      <c r="U21" s="32">
        <f t="shared" si="2"/>
        <v>0</v>
      </c>
      <c r="V21" s="32">
        <f t="shared" si="3"/>
        <v>0</v>
      </c>
      <c r="W21" s="32">
        <f t="shared" si="4"/>
        <v>0</v>
      </c>
      <c r="X21" s="32"/>
      <c r="Y21" s="32"/>
      <c r="Z21" s="32"/>
      <c r="AA21" s="32">
        <f t="shared" si="5"/>
        <v>0</v>
      </c>
      <c r="AB21" s="32">
        <f t="shared" si="6"/>
        <v>0</v>
      </c>
      <c r="AC21" s="32">
        <f t="shared" si="6"/>
        <v>0</v>
      </c>
      <c r="AD21" s="32">
        <f t="shared" si="7"/>
        <v>0</v>
      </c>
      <c r="AE21" s="32">
        <f t="shared" si="8"/>
        <v>0</v>
      </c>
      <c r="AF21" s="32">
        <f t="shared" si="9"/>
        <v>0</v>
      </c>
      <c r="AG21" s="10"/>
      <c r="AH21" s="18">
        <f t="shared" si="10"/>
        <v>0</v>
      </c>
      <c r="AJ21" s="108"/>
      <c r="AK21" t="s">
        <v>141</v>
      </c>
    </row>
    <row r="22" spans="1:37" ht="6.75" customHeight="1">
      <c r="A22" s="3"/>
      <c r="B22" s="16"/>
      <c r="C22" s="16"/>
      <c r="D22" s="16"/>
      <c r="E22" s="16"/>
      <c r="F22" s="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10"/>
      <c r="AH22" s="18">
        <f t="shared" si="10"/>
        <v>0</v>
      </c>
    </row>
    <row r="23" spans="1:37">
      <c r="A23" s="3"/>
      <c r="B23" s="45" t="s">
        <v>29</v>
      </c>
      <c r="C23" s="45"/>
      <c r="D23" s="45"/>
      <c r="E23" s="45"/>
      <c r="F23" s="46"/>
      <c r="G23" s="42">
        <v>3417218.96</v>
      </c>
      <c r="H23" s="42">
        <v>1087411.83</v>
      </c>
      <c r="I23" s="42">
        <v>0</v>
      </c>
      <c r="J23" s="42">
        <v>0</v>
      </c>
      <c r="K23" s="42">
        <f t="shared" si="0"/>
        <v>4504630.79</v>
      </c>
      <c r="L23" s="42">
        <v>0</v>
      </c>
      <c r="M23" s="42">
        <v>464488.5</v>
      </c>
      <c r="N23" s="42">
        <v>0</v>
      </c>
      <c r="O23" s="42">
        <v>1626329.91</v>
      </c>
      <c r="P23" s="42">
        <f t="shared" si="1"/>
        <v>2090818.41</v>
      </c>
      <c r="Q23" s="42">
        <v>0</v>
      </c>
      <c r="R23" s="42">
        <v>90914.74</v>
      </c>
      <c r="S23" s="42">
        <v>0</v>
      </c>
      <c r="T23" s="42">
        <v>0</v>
      </c>
      <c r="U23" s="42">
        <f t="shared" si="2"/>
        <v>90914.74</v>
      </c>
      <c r="V23" s="42">
        <f t="shared" si="3"/>
        <v>2181733.15</v>
      </c>
      <c r="W23" s="42">
        <f t="shared" si="4"/>
        <v>6686363.9399999995</v>
      </c>
      <c r="X23" s="42"/>
      <c r="Y23" s="42"/>
      <c r="Z23" s="42"/>
      <c r="AA23" s="42">
        <f t="shared" si="5"/>
        <v>0</v>
      </c>
      <c r="AB23" s="42">
        <f t="shared" si="6"/>
        <v>3417218.96</v>
      </c>
      <c r="AC23" s="42">
        <f t="shared" si="6"/>
        <v>1642815.07</v>
      </c>
      <c r="AD23" s="42">
        <f t="shared" si="7"/>
        <v>0</v>
      </c>
      <c r="AE23" s="42">
        <f t="shared" si="8"/>
        <v>1626329.91</v>
      </c>
      <c r="AF23" s="42">
        <f t="shared" si="9"/>
        <v>6686363.9400000004</v>
      </c>
      <c r="AG23" s="10"/>
      <c r="AH23" s="18">
        <f t="shared" si="10"/>
        <v>0</v>
      </c>
      <c r="AJ23" s="18"/>
      <c r="AK23" t="s">
        <v>140</v>
      </c>
    </row>
    <row r="24" spans="1:37" ht="5.25" customHeight="1">
      <c r="A24" s="3"/>
      <c r="B24" s="16"/>
      <c r="C24" s="16"/>
      <c r="D24" s="16"/>
      <c r="E24" s="16"/>
      <c r="F24" s="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 t="shared" si="5"/>
        <v>0</v>
      </c>
      <c r="AB24" s="32"/>
      <c r="AC24" s="32"/>
      <c r="AD24" s="32">
        <f t="shared" si="7"/>
        <v>0</v>
      </c>
      <c r="AE24" s="32"/>
      <c r="AF24" s="32"/>
      <c r="AG24" s="10"/>
      <c r="AH24" s="18"/>
    </row>
    <row r="25" spans="1:37">
      <c r="A25" s="3"/>
      <c r="B25" s="16" t="s">
        <v>30</v>
      </c>
      <c r="C25" s="16"/>
      <c r="D25" s="16"/>
      <c r="E25" s="16"/>
      <c r="F25" s="4"/>
      <c r="G25" s="32"/>
      <c r="H25" s="32"/>
      <c r="I25" s="32"/>
      <c r="J25" s="32"/>
      <c r="K25" s="32">
        <f t="shared" si="0"/>
        <v>0</v>
      </c>
      <c r="L25" s="32"/>
      <c r="M25" s="32"/>
      <c r="N25" s="32"/>
      <c r="O25" s="32"/>
      <c r="P25" s="32">
        <f t="shared" si="1"/>
        <v>0</v>
      </c>
      <c r="Q25" s="32"/>
      <c r="R25" s="32"/>
      <c r="S25" s="32"/>
      <c r="T25" s="32"/>
      <c r="U25" s="32">
        <f t="shared" si="2"/>
        <v>0</v>
      </c>
      <c r="V25" s="32">
        <f t="shared" si="3"/>
        <v>0</v>
      </c>
      <c r="W25" s="32">
        <f t="shared" si="4"/>
        <v>0</v>
      </c>
      <c r="X25" s="32"/>
      <c r="Y25" s="32"/>
      <c r="Z25" s="32"/>
      <c r="AA25" s="32">
        <f t="shared" si="5"/>
        <v>0</v>
      </c>
      <c r="AB25" s="32">
        <f t="shared" si="6"/>
        <v>0</v>
      </c>
      <c r="AC25" s="32">
        <f t="shared" si="6"/>
        <v>0</v>
      </c>
      <c r="AD25" s="32">
        <f t="shared" si="7"/>
        <v>0</v>
      </c>
      <c r="AE25" s="32">
        <f t="shared" si="8"/>
        <v>0</v>
      </c>
      <c r="AF25" s="32">
        <f t="shared" si="9"/>
        <v>0</v>
      </c>
      <c r="AG25" s="10"/>
      <c r="AH25" s="18">
        <f t="shared" si="10"/>
        <v>0</v>
      </c>
      <c r="AJ25" s="18">
        <f>+AJ21+AJ23</f>
        <v>0</v>
      </c>
    </row>
    <row r="26" spans="1:37" ht="6" customHeight="1">
      <c r="A26" s="3"/>
      <c r="B26" s="16"/>
      <c r="C26" s="16"/>
      <c r="D26" s="16"/>
      <c r="E26" s="16"/>
      <c r="F26" s="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10"/>
      <c r="AH26" s="18">
        <f t="shared" si="10"/>
        <v>0</v>
      </c>
    </row>
    <row r="27" spans="1:37">
      <c r="A27" s="3"/>
      <c r="B27" s="16" t="s">
        <v>31</v>
      </c>
      <c r="C27" s="16"/>
      <c r="D27" s="16"/>
      <c r="E27" s="16"/>
      <c r="F27" s="4"/>
      <c r="G27" s="32"/>
      <c r="H27" s="32"/>
      <c r="I27" s="32"/>
      <c r="J27" s="32"/>
      <c r="K27" s="32">
        <f t="shared" si="0"/>
        <v>0</v>
      </c>
      <c r="L27" s="32"/>
      <c r="M27" s="32"/>
      <c r="N27" s="32"/>
      <c r="O27" s="32"/>
      <c r="P27" s="32">
        <f t="shared" si="1"/>
        <v>0</v>
      </c>
      <c r="Q27" s="32"/>
      <c r="R27" s="32"/>
      <c r="S27" s="32"/>
      <c r="T27" s="32"/>
      <c r="U27" s="32">
        <f t="shared" si="2"/>
        <v>0</v>
      </c>
      <c r="V27" s="32">
        <f t="shared" si="3"/>
        <v>0</v>
      </c>
      <c r="W27" s="32">
        <f t="shared" si="4"/>
        <v>0</v>
      </c>
      <c r="X27" s="32"/>
      <c r="Y27" s="32"/>
      <c r="Z27" s="32"/>
      <c r="AA27" s="32">
        <f t="shared" si="5"/>
        <v>0</v>
      </c>
      <c r="AB27" s="32">
        <f t="shared" si="6"/>
        <v>0</v>
      </c>
      <c r="AC27" s="32">
        <f t="shared" si="6"/>
        <v>0</v>
      </c>
      <c r="AD27" s="32">
        <f t="shared" si="7"/>
        <v>0</v>
      </c>
      <c r="AE27" s="32">
        <f t="shared" si="8"/>
        <v>0</v>
      </c>
      <c r="AF27" s="32">
        <f t="shared" si="9"/>
        <v>0</v>
      </c>
      <c r="AG27" s="10"/>
      <c r="AH27" s="18">
        <f t="shared" si="10"/>
        <v>0</v>
      </c>
      <c r="AJ27" s="18">
        <f>+AJ19-AJ25</f>
        <v>107086189.93000001</v>
      </c>
    </row>
    <row r="28" spans="1:37" ht="4.5" customHeight="1">
      <c r="A28" s="3"/>
      <c r="B28" s="16"/>
      <c r="C28" s="16"/>
      <c r="D28" s="16"/>
      <c r="E28" s="16"/>
      <c r="F28" s="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10"/>
      <c r="AH28" s="18"/>
    </row>
    <row r="29" spans="1:37">
      <c r="A29" s="3"/>
      <c r="B29" s="16" t="s">
        <v>32</v>
      </c>
      <c r="C29" s="16"/>
      <c r="D29" s="16"/>
      <c r="E29" s="16"/>
      <c r="F29" s="4"/>
      <c r="G29" s="32"/>
      <c r="H29" s="32"/>
      <c r="I29" s="32"/>
      <c r="J29" s="32"/>
      <c r="K29" s="32">
        <f t="shared" si="0"/>
        <v>0</v>
      </c>
      <c r="L29" s="32"/>
      <c r="M29" s="32"/>
      <c r="N29" s="32"/>
      <c r="O29" s="32"/>
      <c r="P29" s="32">
        <f t="shared" si="1"/>
        <v>0</v>
      </c>
      <c r="Q29" s="32"/>
      <c r="R29" s="32"/>
      <c r="S29" s="32"/>
      <c r="T29" s="32"/>
      <c r="U29" s="32">
        <f t="shared" si="2"/>
        <v>0</v>
      </c>
      <c r="V29" s="32">
        <f t="shared" si="3"/>
        <v>0</v>
      </c>
      <c r="W29" s="32">
        <f t="shared" si="4"/>
        <v>0</v>
      </c>
      <c r="X29" s="32"/>
      <c r="Y29" s="32"/>
      <c r="Z29" s="32"/>
      <c r="AA29" s="32">
        <f t="shared" si="5"/>
        <v>0</v>
      </c>
      <c r="AB29" s="32">
        <f t="shared" si="6"/>
        <v>0</v>
      </c>
      <c r="AC29" s="32">
        <f t="shared" si="6"/>
        <v>0</v>
      </c>
      <c r="AD29" s="32">
        <f t="shared" si="7"/>
        <v>0</v>
      </c>
      <c r="AE29" s="32">
        <f t="shared" si="8"/>
        <v>0</v>
      </c>
      <c r="AF29" s="32">
        <f t="shared" si="9"/>
        <v>0</v>
      </c>
      <c r="AG29" s="10"/>
      <c r="AH29" s="18">
        <f t="shared" si="10"/>
        <v>0</v>
      </c>
    </row>
    <row r="30" spans="1:37" ht="6" customHeight="1">
      <c r="A30" s="3"/>
      <c r="B30" s="16"/>
      <c r="C30" s="16"/>
      <c r="D30" s="16"/>
      <c r="E30" s="16"/>
      <c r="F30" s="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10"/>
    </row>
    <row r="31" spans="1:37" ht="15.75" thickBot="1">
      <c r="A31" s="3"/>
      <c r="B31" s="16"/>
      <c r="C31" s="16"/>
      <c r="D31" s="28" t="s">
        <v>60</v>
      </c>
      <c r="E31" s="16"/>
      <c r="F31" s="4"/>
      <c r="G31" s="33">
        <f>SUM(G18:G29)</f>
        <v>35409511</v>
      </c>
      <c r="H31" s="33">
        <f t="shared" ref="H31:AH31" si="11">SUM(H18:H29)</f>
        <v>42095615.219999999</v>
      </c>
      <c r="I31" s="33">
        <f t="shared" si="11"/>
        <v>0</v>
      </c>
      <c r="J31" s="33">
        <f t="shared" si="11"/>
        <v>5328569.59</v>
      </c>
      <c r="K31" s="33">
        <f t="shared" si="11"/>
        <v>82833695.810000017</v>
      </c>
      <c r="L31" s="33">
        <f t="shared" si="11"/>
        <v>61971</v>
      </c>
      <c r="M31" s="33">
        <f t="shared" si="11"/>
        <v>473530.24</v>
      </c>
      <c r="N31" s="33">
        <f t="shared" si="11"/>
        <v>0</v>
      </c>
      <c r="O31" s="33">
        <f t="shared" si="11"/>
        <v>22979014.280000001</v>
      </c>
      <c r="P31" s="33">
        <f t="shared" si="11"/>
        <v>23514515.52</v>
      </c>
      <c r="Q31" s="33">
        <f t="shared" si="11"/>
        <v>0</v>
      </c>
      <c r="R31" s="33">
        <f t="shared" si="11"/>
        <v>6832821.6899999995</v>
      </c>
      <c r="S31" s="33">
        <f t="shared" si="11"/>
        <v>0</v>
      </c>
      <c r="T31" s="33">
        <f t="shared" si="11"/>
        <v>591520.85</v>
      </c>
      <c r="U31" s="33">
        <f t="shared" si="11"/>
        <v>7424342.54</v>
      </c>
      <c r="V31" s="33">
        <f t="shared" si="11"/>
        <v>30938858.059999999</v>
      </c>
      <c r="W31" s="33">
        <f t="shared" si="11"/>
        <v>113772553.87</v>
      </c>
      <c r="X31" s="33">
        <f t="shared" si="11"/>
        <v>0</v>
      </c>
      <c r="Y31" s="33">
        <f t="shared" si="11"/>
        <v>0</v>
      </c>
      <c r="Z31" s="33">
        <f t="shared" si="11"/>
        <v>0</v>
      </c>
      <c r="AA31" s="33">
        <f t="shared" si="11"/>
        <v>0</v>
      </c>
      <c r="AB31" s="33">
        <f t="shared" si="11"/>
        <v>35471482</v>
      </c>
      <c r="AC31" s="33">
        <f t="shared" si="11"/>
        <v>49401967.149999999</v>
      </c>
      <c r="AD31" s="33">
        <f t="shared" si="11"/>
        <v>0</v>
      </c>
      <c r="AE31" s="33">
        <f t="shared" si="11"/>
        <v>28899104.720000003</v>
      </c>
      <c r="AF31" s="33">
        <f t="shared" si="11"/>
        <v>113772553.87</v>
      </c>
      <c r="AG31" s="27">
        <f t="shared" si="11"/>
        <v>0</v>
      </c>
      <c r="AH31" s="17">
        <f t="shared" si="11"/>
        <v>0</v>
      </c>
    </row>
    <row r="32" spans="1:37" ht="5.25" customHeight="1" thickTop="1">
      <c r="A32" s="5"/>
      <c r="B32" s="15"/>
      <c r="C32" s="15"/>
      <c r="D32" s="15"/>
      <c r="E32" s="15"/>
      <c r="F32" s="6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4" ht="5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4" ht="6.75" customHeight="1">
      <c r="B34" s="136"/>
    </row>
    <row r="35" spans="1:34" ht="7.5" customHeight="1">
      <c r="A35" s="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"/>
    </row>
    <row r="36" spans="1:34">
      <c r="A36" s="3"/>
      <c r="B36" s="28" t="s">
        <v>33</v>
      </c>
      <c r="C36" s="28"/>
      <c r="D36" s="16"/>
      <c r="E36" s="16"/>
      <c r="F36" s="16"/>
      <c r="G36" s="116" t="s">
        <v>191</v>
      </c>
      <c r="H36" s="116"/>
      <c r="I36" s="116"/>
      <c r="J36" s="134"/>
      <c r="K36" s="116" t="s">
        <v>229</v>
      </c>
      <c r="L36" s="116"/>
      <c r="M36" s="16"/>
      <c r="N36" s="161" t="s">
        <v>192</v>
      </c>
      <c r="T36" s="16"/>
      <c r="U36" s="16"/>
      <c r="V36" s="16"/>
      <c r="W36" s="176"/>
      <c r="X36" s="176"/>
      <c r="Y36" s="176"/>
      <c r="Z36" s="179"/>
      <c r="AA36" s="179"/>
      <c r="AB36" s="16"/>
      <c r="AC36" s="16"/>
      <c r="AE36" s="18"/>
    </row>
    <row r="37" spans="1:34" ht="18.75">
      <c r="A37" s="3"/>
      <c r="B37" s="16" t="s">
        <v>34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4"/>
      <c r="O37" s="16"/>
      <c r="P37" s="16"/>
      <c r="T37" s="16"/>
      <c r="U37" s="16"/>
      <c r="V37" s="16"/>
      <c r="W37" s="106"/>
      <c r="X37" s="22"/>
      <c r="Y37" s="22"/>
      <c r="Z37" s="22"/>
      <c r="AA37" s="22"/>
      <c r="AB37" s="22"/>
      <c r="AC37" s="22"/>
      <c r="AD37" s="43"/>
      <c r="AH37" s="18"/>
    </row>
    <row r="38" spans="1:34">
      <c r="A38" s="3"/>
      <c r="B38" s="16"/>
      <c r="C38" s="16"/>
      <c r="D38" s="16" t="s">
        <v>103</v>
      </c>
      <c r="E38" s="16"/>
      <c r="F38" s="16"/>
      <c r="G38" s="25"/>
      <c r="H38" s="22">
        <f>SUM(G39:G47)</f>
        <v>899904240</v>
      </c>
      <c r="I38" s="22"/>
      <c r="J38" s="22"/>
      <c r="K38" s="59">
        <f>SUM(J39:J47)</f>
        <v>102712000</v>
      </c>
      <c r="L38" s="22"/>
      <c r="M38" s="22"/>
      <c r="N38" s="120">
        <f>SUM(M39:M47)</f>
        <v>1002616240</v>
      </c>
      <c r="O38" s="22"/>
      <c r="P38" s="59"/>
      <c r="Q38" s="20"/>
      <c r="R38" s="43"/>
      <c r="T38" s="16"/>
      <c r="U38" s="16"/>
      <c r="V38" s="16"/>
      <c r="W38" s="25"/>
      <c r="X38" s="22"/>
      <c r="Y38" s="22"/>
      <c r="Z38" s="22"/>
      <c r="AA38" s="22"/>
      <c r="AB38" s="22"/>
      <c r="AC38" s="22"/>
      <c r="AD38" s="43"/>
    </row>
    <row r="39" spans="1:34">
      <c r="A39" s="3"/>
      <c r="B39" s="16"/>
      <c r="C39" s="16"/>
      <c r="D39" s="121" t="s">
        <v>97</v>
      </c>
      <c r="E39" s="16"/>
      <c r="F39" s="16"/>
      <c r="G39" s="22">
        <v>711376000</v>
      </c>
      <c r="H39" s="22"/>
      <c r="I39" s="22"/>
      <c r="J39" s="40">
        <v>0</v>
      </c>
      <c r="K39" s="22"/>
      <c r="L39" s="22"/>
      <c r="M39" s="22">
        <f>89000000+93488000+163160000+120179000+128747000+116802000</f>
        <v>711376000</v>
      </c>
      <c r="N39" s="122"/>
      <c r="O39" s="22"/>
      <c r="P39" s="144" t="s">
        <v>203</v>
      </c>
      <c r="Q39" s="142"/>
      <c r="T39" s="16"/>
      <c r="U39" s="16"/>
      <c r="V39" s="16"/>
      <c r="W39" s="25"/>
      <c r="X39" s="51"/>
      <c r="Y39" s="51"/>
      <c r="Z39" s="51"/>
      <c r="AA39" s="51"/>
      <c r="AB39" s="51"/>
      <c r="AC39" s="51"/>
      <c r="AD39" s="19"/>
    </row>
    <row r="40" spans="1:34">
      <c r="A40" s="3"/>
      <c r="B40" s="16"/>
      <c r="C40" s="16"/>
      <c r="D40" s="121" t="s">
        <v>100</v>
      </c>
      <c r="E40" s="16"/>
      <c r="F40" s="16"/>
      <c r="G40" s="22">
        <v>12152000</v>
      </c>
      <c r="H40" s="22"/>
      <c r="I40" s="22"/>
      <c r="J40" s="22">
        <v>0</v>
      </c>
      <c r="K40" s="22"/>
      <c r="L40" s="22"/>
      <c r="M40" s="22">
        <f>2026000+2025000+2025000+2026000+2025000+2025000</f>
        <v>12152000</v>
      </c>
      <c r="N40" s="122"/>
      <c r="O40" s="22"/>
      <c r="P40" s="145" t="s">
        <v>201</v>
      </c>
      <c r="Q40" s="127">
        <f>+N38</f>
        <v>1002616240</v>
      </c>
      <c r="T40" t="s">
        <v>44</v>
      </c>
      <c r="V40" s="20"/>
      <c r="W40" s="20"/>
      <c r="X40" s="20"/>
      <c r="Y40" s="20"/>
      <c r="Z40" t="s">
        <v>47</v>
      </c>
      <c r="AA40" s="20"/>
      <c r="AB40" s="51"/>
      <c r="AC40" s="51"/>
      <c r="AD40" s="19"/>
    </row>
    <row r="41" spans="1:34">
      <c r="A41" s="3"/>
      <c r="B41" s="16"/>
      <c r="C41" s="16"/>
      <c r="D41" s="121" t="s">
        <v>167</v>
      </c>
      <c r="E41" s="16"/>
      <c r="F41" s="16"/>
      <c r="G41" s="22">
        <f>79358000+89441000</f>
        <v>168799000</v>
      </c>
      <c r="H41" s="22"/>
      <c r="I41" s="22"/>
      <c r="J41" s="22">
        <v>100687000</v>
      </c>
      <c r="K41" s="22"/>
      <c r="L41" s="22"/>
      <c r="M41" s="22">
        <f>79358000+89441000+100687000</f>
        <v>269486000</v>
      </c>
      <c r="N41" s="122"/>
      <c r="O41" s="22"/>
      <c r="P41" s="145" t="s">
        <v>36</v>
      </c>
      <c r="Q41" s="146">
        <f>+N49</f>
        <v>53021506.5</v>
      </c>
      <c r="V41" s="20"/>
      <c r="W41" s="20"/>
      <c r="X41" s="20"/>
      <c r="Y41" s="20"/>
      <c r="AA41" s="20"/>
      <c r="AB41" s="51"/>
      <c r="AC41" s="51"/>
      <c r="AD41" s="19"/>
    </row>
    <row r="42" spans="1:34">
      <c r="A42" s="3"/>
      <c r="B42" s="16"/>
      <c r="C42" s="16"/>
      <c r="D42" s="121" t="s">
        <v>168</v>
      </c>
      <c r="E42" s="16"/>
      <c r="F42" s="16"/>
      <c r="G42" s="22">
        <f>2026000+2026000</f>
        <v>4052000</v>
      </c>
      <c r="H42" s="22"/>
      <c r="I42" s="22"/>
      <c r="J42" s="22">
        <v>2025000</v>
      </c>
      <c r="K42" s="22"/>
      <c r="L42" s="22"/>
      <c r="M42" s="22">
        <f>2026000+2026000+2025000</f>
        <v>6077000</v>
      </c>
      <c r="N42" s="122"/>
      <c r="O42" s="22"/>
      <c r="P42" s="145"/>
      <c r="Q42" s="127">
        <f>+Q40+Q41</f>
        <v>1055637746.5</v>
      </c>
      <c r="V42" s="20"/>
      <c r="W42" s="20"/>
      <c r="X42" s="20"/>
      <c r="Y42" s="20"/>
      <c r="AA42" s="20"/>
      <c r="AB42" s="51"/>
      <c r="AC42" s="51"/>
      <c r="AD42" s="19"/>
    </row>
    <row r="43" spans="1:34">
      <c r="A43" s="3"/>
      <c r="B43" s="16"/>
      <c r="C43" s="16"/>
      <c r="D43" s="16" t="s">
        <v>104</v>
      </c>
      <c r="E43" s="16"/>
      <c r="F43" s="16"/>
      <c r="G43" s="22"/>
      <c r="H43" s="22"/>
      <c r="I43" s="22"/>
      <c r="J43" s="22">
        <v>0</v>
      </c>
      <c r="K43" s="22"/>
      <c r="L43" s="22"/>
      <c r="M43" s="22"/>
      <c r="N43" s="122"/>
      <c r="O43" s="22"/>
      <c r="P43" s="145" t="s">
        <v>202</v>
      </c>
      <c r="Q43" s="146">
        <f>+N59</f>
        <v>-635381384.69000006</v>
      </c>
      <c r="V43" s="20"/>
      <c r="W43" s="20"/>
      <c r="X43" s="20"/>
      <c r="Y43" s="20"/>
      <c r="AA43" s="20"/>
      <c r="AB43" s="31"/>
      <c r="AC43" s="51"/>
      <c r="AD43" s="19"/>
    </row>
    <row r="44" spans="1:34" ht="15.75" thickBot="1">
      <c r="A44" s="3"/>
      <c r="B44" s="16"/>
      <c r="C44" s="16"/>
      <c r="D44" s="121" t="s">
        <v>105</v>
      </c>
      <c r="E44" s="16"/>
      <c r="F44" s="16"/>
      <c r="G44" s="22">
        <f>94823+94698</f>
        <v>189521</v>
      </c>
      <c r="H44" s="22"/>
      <c r="I44" s="22"/>
      <c r="J44" s="22">
        <v>0</v>
      </c>
      <c r="K44" s="22"/>
      <c r="L44" s="22"/>
      <c r="M44" s="22">
        <f>94823+94698</f>
        <v>189521</v>
      </c>
      <c r="N44" s="122"/>
      <c r="O44" s="22"/>
      <c r="P44" s="145" t="s">
        <v>204</v>
      </c>
      <c r="Q44" s="147">
        <f>+Q42+Q43</f>
        <v>420256361.80999994</v>
      </c>
      <c r="T44" s="38" t="s">
        <v>49</v>
      </c>
      <c r="Z44" s="38" t="s">
        <v>72</v>
      </c>
      <c r="AB44" s="31"/>
      <c r="AC44" s="51"/>
      <c r="AD44" s="19"/>
    </row>
    <row r="45" spans="1:34">
      <c r="A45" s="3"/>
      <c r="B45" s="16"/>
      <c r="C45" s="16"/>
      <c r="D45" s="121" t="s">
        <v>129</v>
      </c>
      <c r="E45" s="16"/>
      <c r="F45" s="16"/>
      <c r="G45" s="22">
        <v>85598</v>
      </c>
      <c r="H45" s="22"/>
      <c r="I45" s="22"/>
      <c r="J45" s="22">
        <v>0</v>
      </c>
      <c r="K45" s="22"/>
      <c r="L45" s="22"/>
      <c r="M45" s="22">
        <v>85598</v>
      </c>
      <c r="N45" s="122"/>
      <c r="O45" s="22"/>
      <c r="P45" s="143"/>
      <c r="Q45" s="123"/>
      <c r="T45" t="s">
        <v>46</v>
      </c>
      <c r="Z45" t="s">
        <v>71</v>
      </c>
      <c r="AB45" s="31"/>
      <c r="AC45" s="51"/>
      <c r="AD45" s="19"/>
    </row>
    <row r="46" spans="1:34">
      <c r="A46" s="3"/>
      <c r="B46" s="16"/>
      <c r="C46" s="16"/>
      <c r="D46" s="121" t="s">
        <v>130</v>
      </c>
      <c r="E46" s="16"/>
      <c r="F46" s="16"/>
      <c r="G46" s="22">
        <v>670162</v>
      </c>
      <c r="H46" s="22"/>
      <c r="I46" s="22"/>
      <c r="J46" s="22">
        <v>0</v>
      </c>
      <c r="K46" s="22"/>
      <c r="L46" s="22"/>
      <c r="M46" s="22">
        <v>670162</v>
      </c>
      <c r="N46" s="122"/>
      <c r="O46" s="22"/>
      <c r="P46" s="22"/>
      <c r="Q46" s="20"/>
      <c r="T46" t="s">
        <v>45</v>
      </c>
      <c r="Z46" t="s">
        <v>48</v>
      </c>
      <c r="AB46" s="31"/>
      <c r="AC46" s="51"/>
      <c r="AD46" s="19"/>
    </row>
    <row r="47" spans="1:34">
      <c r="A47" s="3"/>
      <c r="B47" s="16"/>
      <c r="C47" s="16"/>
      <c r="D47" s="121" t="s">
        <v>155</v>
      </c>
      <c r="E47" s="16"/>
      <c r="F47" s="16"/>
      <c r="G47" s="21">
        <v>2579959</v>
      </c>
      <c r="H47" s="22"/>
      <c r="I47" s="22"/>
      <c r="J47" s="21">
        <v>0</v>
      </c>
      <c r="K47" s="22"/>
      <c r="L47" s="22"/>
      <c r="M47" s="21">
        <v>2579959</v>
      </c>
      <c r="N47" s="122"/>
      <c r="O47" s="22"/>
      <c r="P47" s="22"/>
      <c r="Q47" s="20"/>
      <c r="AB47" s="31"/>
      <c r="AC47" s="51"/>
      <c r="AD47" s="19"/>
    </row>
    <row r="48" spans="1:34">
      <c r="A48" s="3"/>
      <c r="B48" s="16"/>
      <c r="C48" s="16"/>
      <c r="D48" s="16" t="s">
        <v>35</v>
      </c>
      <c r="E48" s="16"/>
      <c r="F48" s="16"/>
      <c r="G48" s="22"/>
      <c r="H48" s="22">
        <v>0</v>
      </c>
      <c r="I48" s="22"/>
      <c r="J48" s="22"/>
      <c r="K48" s="22">
        <v>0</v>
      </c>
      <c r="L48" s="22"/>
      <c r="M48" s="22"/>
      <c r="N48" s="122"/>
      <c r="O48" s="22"/>
      <c r="P48" s="22"/>
      <c r="Q48" s="20"/>
      <c r="Z48" t="s">
        <v>45</v>
      </c>
      <c r="AB48" s="31"/>
      <c r="AC48" s="22"/>
      <c r="AD48" s="25"/>
      <c r="AE48" s="16"/>
      <c r="AF48" s="16"/>
    </row>
    <row r="49" spans="1:32">
      <c r="A49" s="3"/>
      <c r="B49" s="16"/>
      <c r="C49" s="16"/>
      <c r="D49" s="16" t="s">
        <v>36</v>
      </c>
      <c r="E49" s="16"/>
      <c r="F49" s="16"/>
      <c r="G49" s="25"/>
      <c r="H49" s="22">
        <f>21817245.73+6579604.91+4439371.24+5090156.83+8408763.85</f>
        <v>46335142.560000002</v>
      </c>
      <c r="I49" s="22"/>
      <c r="J49" s="22"/>
      <c r="K49" s="59">
        <f>+AF23</f>
        <v>6686363.9400000004</v>
      </c>
      <c r="L49" s="22"/>
      <c r="M49" s="22"/>
      <c r="N49" s="122">
        <f>6514818+3759574.58+7395098.56+4147754.59+6579604.91+4439371.24+5090156.83+8408763.85+6686363.94</f>
        <v>53021506.5</v>
      </c>
      <c r="O49" s="22"/>
      <c r="P49" s="22"/>
      <c r="Q49" s="20"/>
      <c r="R49" s="18"/>
      <c r="W49" s="19"/>
      <c r="X49" s="51"/>
      <c r="Y49" s="31"/>
      <c r="Z49" s="31"/>
      <c r="AA49" s="51"/>
      <c r="AB49" s="31"/>
      <c r="AC49" s="51"/>
      <c r="AD49" s="25"/>
      <c r="AE49" s="16"/>
      <c r="AF49" s="16"/>
    </row>
    <row r="50" spans="1:32">
      <c r="A50" s="3"/>
      <c r="B50" s="16"/>
      <c r="C50" s="16"/>
      <c r="D50" s="16" t="s">
        <v>37</v>
      </c>
      <c r="E50" s="16"/>
      <c r="F50" s="16"/>
      <c r="G50" s="25"/>
      <c r="H50" s="22">
        <v>0</v>
      </c>
      <c r="I50" s="22"/>
      <c r="J50" s="22"/>
      <c r="K50" s="22">
        <v>0</v>
      </c>
      <c r="L50" s="22"/>
      <c r="M50" s="22"/>
      <c r="N50" s="122"/>
      <c r="O50" s="22"/>
      <c r="P50" s="22"/>
      <c r="Q50" s="20"/>
      <c r="W50" s="19"/>
      <c r="X50" s="22"/>
      <c r="Y50" s="20"/>
      <c r="Z50" s="20"/>
      <c r="AA50" s="20"/>
      <c r="AB50" s="20"/>
      <c r="AC50" s="22"/>
      <c r="AD50" s="25"/>
      <c r="AE50" s="16"/>
      <c r="AF50" s="16"/>
    </row>
    <row r="51" spans="1:32" ht="14.25" customHeight="1">
      <c r="A51" s="3"/>
      <c r="B51" s="16"/>
      <c r="C51" s="16"/>
      <c r="D51" s="16" t="s">
        <v>38</v>
      </c>
      <c r="E51" s="16"/>
      <c r="F51" s="16"/>
      <c r="G51" s="25"/>
      <c r="H51" s="22">
        <v>0</v>
      </c>
      <c r="I51" s="22"/>
      <c r="J51" s="22"/>
      <c r="K51" s="22">
        <v>0</v>
      </c>
      <c r="L51" s="22"/>
      <c r="M51" s="22"/>
      <c r="N51" s="122"/>
      <c r="O51" s="22"/>
      <c r="P51" s="22"/>
      <c r="Q51" s="20"/>
      <c r="S51" s="39"/>
      <c r="T51" s="39"/>
      <c r="W51" s="19"/>
      <c r="X51" s="22"/>
      <c r="Y51" s="20"/>
      <c r="Z51" s="20"/>
      <c r="AA51" s="20"/>
      <c r="AB51" s="20"/>
      <c r="AC51" s="22"/>
      <c r="AD51" s="25"/>
      <c r="AE51" s="16"/>
      <c r="AF51" s="16"/>
    </row>
    <row r="52" spans="1:32" ht="13.5" customHeight="1">
      <c r="A52" s="3"/>
      <c r="B52" s="16"/>
      <c r="C52" s="16"/>
      <c r="D52" s="15" t="s">
        <v>39</v>
      </c>
      <c r="E52" s="16"/>
      <c r="F52" s="16"/>
      <c r="G52" s="25"/>
      <c r="H52" s="21">
        <v>0</v>
      </c>
      <c r="I52" s="22"/>
      <c r="J52" s="22"/>
      <c r="K52" s="21">
        <v>0</v>
      </c>
      <c r="L52" s="22"/>
      <c r="M52" s="22"/>
      <c r="N52" s="123"/>
      <c r="O52" s="22"/>
      <c r="P52" s="22"/>
      <c r="Q52" s="20"/>
      <c r="S52" s="39"/>
      <c r="T52" s="39"/>
      <c r="W52" s="19"/>
      <c r="X52" s="22"/>
      <c r="Y52" s="20"/>
      <c r="Z52" s="20"/>
      <c r="AA52" s="20"/>
      <c r="AB52" s="20"/>
      <c r="AC52" s="22"/>
      <c r="AD52" s="25"/>
      <c r="AE52" s="16"/>
      <c r="AF52" s="16"/>
    </row>
    <row r="53" spans="1:32" ht="13.5" customHeight="1">
      <c r="A53" s="3"/>
      <c r="B53" s="16"/>
      <c r="C53" s="16"/>
      <c r="D53" s="16" t="s">
        <v>57</v>
      </c>
      <c r="E53" s="16"/>
      <c r="F53" s="16"/>
      <c r="G53" s="25"/>
      <c r="H53" s="22">
        <f>SUM(H38:H52)</f>
        <v>946239382.55999994</v>
      </c>
      <c r="I53" s="22"/>
      <c r="J53" s="22"/>
      <c r="K53" s="22">
        <f>SUM(K38:K52)</f>
        <v>109398363.94</v>
      </c>
      <c r="L53" s="22"/>
      <c r="M53" s="22"/>
      <c r="N53" s="122">
        <f>SUM(N38:N52)</f>
        <v>1055637746.5</v>
      </c>
      <c r="O53" s="22"/>
      <c r="P53" s="22"/>
      <c r="Q53" s="20"/>
      <c r="R53" s="43"/>
      <c r="S53" s="39"/>
      <c r="T53" s="65"/>
      <c r="U53" s="65"/>
      <c r="V53" s="16"/>
      <c r="W53" s="16"/>
      <c r="X53" s="25"/>
      <c r="Y53" s="20"/>
      <c r="Z53" s="20"/>
      <c r="AA53" s="20"/>
      <c r="AB53" s="20"/>
      <c r="AC53" s="22"/>
      <c r="AD53" s="25"/>
      <c r="AE53" s="16"/>
      <c r="AF53" s="16"/>
    </row>
    <row r="54" spans="1:32">
      <c r="A54" s="3"/>
      <c r="B54" s="16" t="s">
        <v>40</v>
      </c>
      <c r="C54" s="16"/>
      <c r="D54" s="16"/>
      <c r="E54" s="16"/>
      <c r="F54" s="16"/>
      <c r="G54" s="25"/>
      <c r="H54" s="21">
        <v>0</v>
      </c>
      <c r="I54" s="22"/>
      <c r="J54" s="22"/>
      <c r="K54" s="21">
        <v>0</v>
      </c>
      <c r="L54" s="22"/>
      <c r="M54" s="22"/>
      <c r="N54" s="123">
        <v>0</v>
      </c>
      <c r="O54" s="22"/>
      <c r="P54" s="22"/>
      <c r="Q54" s="20"/>
      <c r="S54" s="54"/>
      <c r="T54" s="54"/>
      <c r="U54" s="54"/>
      <c r="V54" s="45"/>
      <c r="W54" s="45"/>
      <c r="X54" s="55"/>
      <c r="Y54" s="22"/>
      <c r="Z54" s="22"/>
      <c r="AA54" s="22"/>
      <c r="AB54" s="22"/>
      <c r="AC54" s="51"/>
      <c r="AD54" s="25"/>
      <c r="AE54" s="16"/>
      <c r="AF54" s="16"/>
    </row>
    <row r="55" spans="1:32" ht="15" customHeight="1">
      <c r="A55" s="3"/>
      <c r="B55" s="28" t="s">
        <v>41</v>
      </c>
      <c r="C55" s="28"/>
      <c r="D55" s="16"/>
      <c r="E55" s="16"/>
      <c r="F55" s="16"/>
      <c r="G55" s="25"/>
      <c r="H55" s="22">
        <f>+H53-H54</f>
        <v>946239382.55999994</v>
      </c>
      <c r="I55" s="22"/>
      <c r="J55" s="22"/>
      <c r="K55" s="22">
        <f>+K53-K54</f>
        <v>109398363.94</v>
      </c>
      <c r="L55" s="22"/>
      <c r="M55" s="22"/>
      <c r="N55" s="122">
        <f>+N53-N54</f>
        <v>1055637746.5</v>
      </c>
      <c r="O55" s="22"/>
      <c r="P55" s="22"/>
      <c r="Q55" s="20"/>
      <c r="R55" s="43"/>
      <c r="S55" s="56"/>
      <c r="T55" s="60"/>
      <c r="U55" s="61"/>
      <c r="V55" s="61"/>
      <c r="W55" s="61"/>
      <c r="X55" s="55"/>
      <c r="Y55" s="20"/>
      <c r="Z55" s="20"/>
      <c r="AA55" s="20"/>
      <c r="AB55" s="20"/>
      <c r="AC55" s="22"/>
      <c r="AD55" s="25"/>
      <c r="AE55" s="16"/>
      <c r="AF55" s="16"/>
    </row>
    <row r="56" spans="1:32" ht="15" customHeight="1">
      <c r="A56" s="3"/>
      <c r="B56" s="16" t="s">
        <v>56</v>
      </c>
      <c r="C56" s="16"/>
      <c r="D56" s="16" t="s">
        <v>163</v>
      </c>
      <c r="E56" s="16"/>
      <c r="F56" s="16"/>
      <c r="G56" s="25"/>
      <c r="H56" s="22">
        <f>-0.04-209773795.28-0.97-1.45</f>
        <v>-209773797.73999998</v>
      </c>
      <c r="I56" s="22"/>
      <c r="J56" s="22"/>
      <c r="K56" s="22">
        <v>0</v>
      </c>
      <c r="L56" s="22"/>
      <c r="M56" s="22"/>
      <c r="N56" s="122">
        <f>-0.04-209773795.28-0.97-1.45</f>
        <v>-209773797.73999998</v>
      </c>
      <c r="O56" s="22"/>
      <c r="P56" s="22"/>
      <c r="Q56" s="20"/>
      <c r="S56" s="56"/>
      <c r="T56" s="60"/>
      <c r="U56" s="61"/>
      <c r="V56" s="61"/>
      <c r="W56" s="61"/>
      <c r="X56" s="55"/>
      <c r="Y56" s="20"/>
      <c r="Z56" s="20"/>
      <c r="AA56" s="20"/>
      <c r="AB56" s="20"/>
      <c r="AC56" s="22"/>
      <c r="AD56" s="25"/>
      <c r="AE56" s="16"/>
      <c r="AF56" s="16"/>
    </row>
    <row r="57" spans="1:32" ht="15" customHeight="1">
      <c r="A57" s="3"/>
      <c r="B57" s="16"/>
      <c r="C57" s="16"/>
      <c r="D57" s="16" t="s">
        <v>164</v>
      </c>
      <c r="E57" s="16"/>
      <c r="F57" s="16"/>
      <c r="G57" s="25"/>
      <c r="H57" s="22">
        <v>-118987443.34999999</v>
      </c>
      <c r="I57" s="22"/>
      <c r="J57" s="22"/>
      <c r="K57" s="22">
        <v>0</v>
      </c>
      <c r="L57" s="22"/>
      <c r="M57" s="22"/>
      <c r="N57" s="122">
        <v>-118987443.34999999</v>
      </c>
      <c r="O57" s="22"/>
      <c r="P57" s="22"/>
      <c r="Q57" s="20"/>
      <c r="S57" s="56"/>
      <c r="T57" s="60"/>
      <c r="U57" s="61"/>
      <c r="V57" s="61"/>
      <c r="W57" s="61"/>
      <c r="X57" s="55"/>
      <c r="Y57" s="20"/>
      <c r="Z57" s="20"/>
      <c r="AA57" s="20"/>
      <c r="AB57" s="20"/>
      <c r="AC57" s="22"/>
      <c r="AD57" s="25"/>
      <c r="AE57" s="16"/>
      <c r="AF57" s="16"/>
    </row>
    <row r="58" spans="1:32" ht="15" customHeight="1">
      <c r="A58" s="3"/>
      <c r="B58" s="16"/>
      <c r="C58" s="16"/>
      <c r="D58" s="16" t="s">
        <v>200</v>
      </c>
      <c r="E58" s="16"/>
      <c r="F58" s="16"/>
      <c r="G58" s="25"/>
      <c r="H58" s="22">
        <v>0</v>
      </c>
      <c r="I58" s="22"/>
      <c r="J58" s="22"/>
      <c r="K58" s="162">
        <f>-91490030.72-5090</f>
        <v>-91495120.719999999</v>
      </c>
      <c r="L58" s="22"/>
      <c r="M58" s="22"/>
      <c r="N58" s="122">
        <f>-91490030.72-5090</f>
        <v>-91495120.719999999</v>
      </c>
      <c r="O58" s="22"/>
      <c r="P58" s="22"/>
      <c r="Q58" s="20"/>
      <c r="S58" s="56"/>
      <c r="T58" s="60"/>
      <c r="U58" s="61"/>
      <c r="V58" s="61"/>
      <c r="W58" s="61"/>
      <c r="X58" s="55"/>
      <c r="Y58" s="20"/>
      <c r="Z58" s="20"/>
      <c r="AA58" s="20"/>
      <c r="AB58" s="20"/>
      <c r="AC58" s="22"/>
      <c r="AD58" s="25"/>
      <c r="AE58" s="16"/>
      <c r="AF58" s="16"/>
    </row>
    <row r="59" spans="1:32" ht="16.5" customHeight="1">
      <c r="A59" s="3"/>
      <c r="B59" s="16"/>
      <c r="C59" s="16"/>
      <c r="D59" s="16" t="s">
        <v>75</v>
      </c>
      <c r="E59" s="16"/>
      <c r="F59" s="16"/>
      <c r="G59" s="25"/>
      <c r="H59" s="22">
        <f>-459395578.34+2329.06+10762.5-62226344.04</f>
        <v>-521608830.81999999</v>
      </c>
      <c r="I59" s="22">
        <f>+H59+H49</f>
        <v>-475273688.25999999</v>
      </c>
      <c r="J59" s="22"/>
      <c r="K59" s="162">
        <f>-AF31</f>
        <v>-113772553.87</v>
      </c>
      <c r="L59" s="22">
        <f>+K59+K49</f>
        <v>-107086189.93000001</v>
      </c>
      <c r="M59" s="22"/>
      <c r="N59" s="122">
        <f>-41435530.02-30432815.6-88102173.2+256000-29927199.49-97107198.84-141799344.64-(30847316.55-2329.06-10762.5)-62226344.04-113777643.87+5000+90</f>
        <v>-635381384.69000006</v>
      </c>
      <c r="O59" s="22"/>
      <c r="P59" s="22"/>
      <c r="Q59" s="22"/>
      <c r="R59" s="43"/>
      <c r="S59" s="57"/>
      <c r="T59" s="61"/>
      <c r="U59" s="61"/>
      <c r="V59" s="40"/>
      <c r="W59" s="40"/>
      <c r="X59" s="55"/>
      <c r="Y59" s="20"/>
      <c r="Z59" s="20"/>
      <c r="AA59" s="20"/>
      <c r="AB59" s="20"/>
      <c r="AC59" s="22"/>
      <c r="AD59" s="25"/>
      <c r="AE59" s="16"/>
      <c r="AF59" s="16"/>
    </row>
    <row r="60" spans="1:32" ht="13.5" customHeight="1">
      <c r="A60" s="3"/>
      <c r="B60" s="28" t="s">
        <v>61</v>
      </c>
      <c r="C60" s="28"/>
      <c r="D60" s="28"/>
      <c r="E60" s="28"/>
      <c r="F60" s="28"/>
      <c r="G60" s="124"/>
      <c r="H60" s="105">
        <f>SUM(H55:H59)</f>
        <v>95869310.649999917</v>
      </c>
      <c r="I60" s="34"/>
      <c r="J60" s="34"/>
      <c r="K60" s="105">
        <f>SUM(K55:K59)</f>
        <v>-95869310.650000006</v>
      </c>
      <c r="L60" s="34"/>
      <c r="M60" s="51"/>
      <c r="N60" s="125">
        <f>SUM(N55:N59)</f>
        <v>0</v>
      </c>
      <c r="O60" s="22"/>
      <c r="P60" s="34"/>
      <c r="Q60" s="20"/>
      <c r="R60" s="18"/>
      <c r="S60" s="57"/>
      <c r="T60" s="61"/>
      <c r="U60" s="61"/>
      <c r="V60" s="40"/>
      <c r="W60" s="40"/>
      <c r="X60" s="45"/>
      <c r="AC60" s="18"/>
    </row>
    <row r="61" spans="1:32" ht="11.25" customHeight="1">
      <c r="A61" s="3"/>
      <c r="B61" s="28"/>
      <c r="C61" s="28"/>
      <c r="D61" s="28"/>
      <c r="E61" s="28"/>
      <c r="F61" s="28"/>
      <c r="G61" s="124"/>
      <c r="H61" s="34"/>
      <c r="I61" s="34"/>
      <c r="J61" s="34"/>
      <c r="K61" s="34"/>
      <c r="L61" s="34"/>
      <c r="M61" s="51"/>
      <c r="N61" s="128"/>
      <c r="O61" s="22"/>
      <c r="P61" s="34"/>
      <c r="Q61" s="20"/>
      <c r="R61" s="18"/>
      <c r="S61" s="57"/>
      <c r="T61" s="61"/>
      <c r="U61" s="61"/>
      <c r="V61" s="40"/>
      <c r="W61" s="40"/>
      <c r="X61" s="45"/>
      <c r="AC61" s="18"/>
    </row>
    <row r="62" spans="1:32" ht="13.5" customHeight="1">
      <c r="A62" s="3"/>
      <c r="B62" s="28" t="s">
        <v>74</v>
      </c>
      <c r="C62" s="28"/>
      <c r="D62" s="28"/>
      <c r="E62" s="28"/>
      <c r="F62" s="28"/>
      <c r="G62" s="124"/>
      <c r="H62" s="34">
        <f>101246000+101587000+174589000+131372000+139608000+137278000+137295000+156633000</f>
        <v>1079608000</v>
      </c>
      <c r="I62" s="34"/>
      <c r="J62" s="34"/>
      <c r="K62" s="118">
        <v>168315000</v>
      </c>
      <c r="L62" s="118"/>
      <c r="M62" s="119"/>
      <c r="N62" s="126">
        <f>101246000+101587000+174589000+131372000+139608000+137278000+137295000+156633000+168315000</f>
        <v>1247923000</v>
      </c>
      <c r="O62" s="22"/>
      <c r="P62" s="118"/>
      <c r="Q62" s="20"/>
      <c r="R62" s="18"/>
      <c r="S62" s="57"/>
      <c r="T62" s="61"/>
      <c r="U62" s="61"/>
      <c r="V62" s="40"/>
      <c r="W62" s="40"/>
      <c r="X62" s="45"/>
      <c r="AC62" s="18"/>
    </row>
    <row r="63" spans="1:32" ht="13.5" customHeight="1">
      <c r="A63" s="3"/>
      <c r="B63" s="16" t="s">
        <v>99</v>
      </c>
      <c r="C63" s="28"/>
      <c r="D63" s="28"/>
      <c r="E63" s="28"/>
      <c r="F63" s="28"/>
      <c r="G63" s="124"/>
      <c r="H63" s="107">
        <f>+H59</f>
        <v>-521608830.81999999</v>
      </c>
      <c r="I63" s="107"/>
      <c r="J63" s="107"/>
      <c r="K63" s="140">
        <f>+K59</f>
        <v>-113772553.87</v>
      </c>
      <c r="L63" s="107"/>
      <c r="M63" s="22"/>
      <c r="N63" s="127">
        <f>+N59</f>
        <v>-635381384.69000006</v>
      </c>
      <c r="O63" s="22"/>
      <c r="P63" s="107"/>
      <c r="Q63" s="20"/>
      <c r="S63" s="57"/>
      <c r="T63" s="61"/>
      <c r="U63" s="61"/>
      <c r="V63" s="40"/>
      <c r="W63" s="40"/>
      <c r="X63" s="45"/>
      <c r="AC63" s="18"/>
    </row>
    <row r="64" spans="1:32" ht="13.5" customHeight="1">
      <c r="A64" s="3"/>
      <c r="B64" s="28" t="s">
        <v>43</v>
      </c>
      <c r="C64" s="28"/>
      <c r="D64" s="28"/>
      <c r="E64" s="28"/>
      <c r="F64" s="28"/>
      <c r="G64" s="124"/>
      <c r="H64" s="105">
        <f>+H62+H63</f>
        <v>557999169.18000007</v>
      </c>
      <c r="I64" s="34"/>
      <c r="J64" s="34"/>
      <c r="K64" s="141">
        <f>+K62+K63</f>
        <v>54542446.129999995</v>
      </c>
      <c r="L64" s="34"/>
      <c r="M64" s="34"/>
      <c r="N64" s="125">
        <f>+N62+N63:N63</f>
        <v>612541615.30999994</v>
      </c>
      <c r="O64" s="22"/>
      <c r="P64" s="34"/>
      <c r="Q64" s="20"/>
      <c r="S64" s="57"/>
      <c r="T64" s="61"/>
      <c r="U64" s="61"/>
      <c r="V64" s="40"/>
      <c r="W64" s="40"/>
      <c r="X64" s="45"/>
      <c r="AC64" s="18"/>
    </row>
    <row r="65" spans="1:29" ht="13.5" customHeight="1">
      <c r="A65" s="3"/>
      <c r="B65" s="121" t="s">
        <v>42</v>
      </c>
      <c r="C65" s="121"/>
      <c r="D65" s="16"/>
      <c r="E65" s="28"/>
      <c r="F65" s="28"/>
      <c r="G65" s="124"/>
      <c r="H65" s="34"/>
      <c r="I65" s="34"/>
      <c r="J65" s="34"/>
      <c r="K65" s="34"/>
      <c r="L65" s="34"/>
      <c r="M65" s="34"/>
      <c r="N65" s="128"/>
      <c r="O65" s="34"/>
      <c r="P65" s="51"/>
      <c r="Q65" s="20"/>
      <c r="S65" s="57"/>
      <c r="T65" s="61"/>
      <c r="U65" s="61"/>
      <c r="V65" s="40"/>
      <c r="W65" s="40"/>
      <c r="X65" s="45"/>
      <c r="AC65" s="18"/>
    </row>
    <row r="66" spans="1:29" ht="13.5" customHeight="1">
      <c r="A66" s="3"/>
      <c r="B66" s="121" t="s">
        <v>73</v>
      </c>
      <c r="C66" s="121"/>
      <c r="D66" s="16"/>
      <c r="E66" s="28"/>
      <c r="F66" s="28"/>
      <c r="G66" s="124"/>
      <c r="H66" s="34"/>
      <c r="I66" s="34"/>
      <c r="J66" s="34"/>
      <c r="K66" s="34"/>
      <c r="L66" s="34"/>
      <c r="M66" s="34"/>
      <c r="N66" s="128"/>
      <c r="O66" s="34"/>
      <c r="P66" s="34"/>
      <c r="S66" s="57"/>
      <c r="T66" s="61"/>
      <c r="U66" s="61"/>
      <c r="V66" s="40"/>
      <c r="W66" s="40"/>
      <c r="X66" s="45"/>
      <c r="AC66" s="18"/>
    </row>
    <row r="67" spans="1:29" ht="13.5" customHeight="1">
      <c r="A67" s="5"/>
      <c r="B67" s="129"/>
      <c r="C67" s="129" t="s">
        <v>102</v>
      </c>
      <c r="D67" s="15"/>
      <c r="E67" s="130"/>
      <c r="F67" s="130"/>
      <c r="G67" s="131"/>
      <c r="H67" s="132"/>
      <c r="I67" s="132"/>
      <c r="J67" s="132"/>
      <c r="K67" s="132"/>
      <c r="L67" s="132"/>
      <c r="M67" s="132"/>
      <c r="N67" s="133"/>
      <c r="O67" s="16"/>
      <c r="P67" s="16"/>
      <c r="S67" s="57"/>
      <c r="T67" s="61"/>
      <c r="U67" s="61"/>
      <c r="V67" s="40"/>
      <c r="W67" s="40"/>
      <c r="X67" s="45"/>
      <c r="AC67" s="18"/>
    </row>
    <row r="68" spans="1:29" ht="15" customHeight="1">
      <c r="B68" s="26"/>
      <c r="C68" s="26"/>
      <c r="H68" s="20"/>
      <c r="I68" s="20"/>
      <c r="J68" s="20"/>
      <c r="K68" s="20"/>
      <c r="M68" s="20"/>
      <c r="N68" s="20"/>
      <c r="O68" s="134"/>
      <c r="P68" s="16"/>
      <c r="S68" s="56"/>
      <c r="T68" s="60"/>
      <c r="U68" s="61"/>
      <c r="V68" s="40"/>
      <c r="W68" s="63"/>
      <c r="X68" s="45"/>
    </row>
    <row r="69" spans="1:29" ht="15" customHeight="1">
      <c r="B69" s="26"/>
      <c r="C69" s="26"/>
      <c r="D69" s="26"/>
      <c r="H69" s="20"/>
      <c r="I69" s="20"/>
      <c r="J69" s="20"/>
      <c r="K69" s="20"/>
      <c r="M69" s="20"/>
      <c r="N69" s="20"/>
      <c r="O69" s="43"/>
      <c r="S69" s="56"/>
      <c r="T69" s="61"/>
      <c r="U69" s="61"/>
      <c r="V69" s="40"/>
      <c r="W69" s="40"/>
      <c r="X69" s="45"/>
    </row>
    <row r="70" spans="1:29" ht="15" customHeight="1">
      <c r="B70" s="16"/>
      <c r="C70" s="16"/>
      <c r="D70" s="16"/>
      <c r="E70" s="16"/>
      <c r="F70" s="38"/>
      <c r="K70" s="20"/>
      <c r="L70" s="38"/>
      <c r="N70" s="22"/>
      <c r="O70" s="18"/>
      <c r="P70" s="18"/>
      <c r="S70" s="56"/>
      <c r="T70" s="60"/>
      <c r="U70" s="61"/>
      <c r="V70" s="62"/>
      <c r="W70" s="61"/>
      <c r="X70" s="45"/>
    </row>
    <row r="71" spans="1:29" ht="15" customHeight="1">
      <c r="B71" s="28"/>
      <c r="C71" s="28"/>
      <c r="D71" s="16"/>
      <c r="E71" s="16"/>
      <c r="K71" s="20"/>
      <c r="N71" s="51"/>
      <c r="S71" s="57"/>
      <c r="T71" s="61"/>
      <c r="U71" s="61"/>
      <c r="V71" s="40"/>
      <c r="W71" s="40"/>
      <c r="X71" s="45"/>
    </row>
    <row r="72" spans="1:29">
      <c r="K72" s="20"/>
      <c r="N72" s="22"/>
      <c r="S72" s="57"/>
      <c r="T72" s="61"/>
      <c r="U72" s="61"/>
      <c r="V72" s="40"/>
      <c r="W72" s="40"/>
      <c r="X72" s="16"/>
    </row>
    <row r="73" spans="1:29">
      <c r="K73" s="20"/>
      <c r="N73" s="22"/>
      <c r="S73" s="57"/>
      <c r="T73" s="57"/>
      <c r="U73" s="57"/>
      <c r="V73" s="40"/>
      <c r="W73" s="50"/>
    </row>
    <row r="74" spans="1:29">
      <c r="K74" s="20"/>
      <c r="S74" s="56"/>
      <c r="T74" s="56"/>
      <c r="U74" s="57"/>
      <c r="V74" s="62"/>
      <c r="W74" s="57"/>
    </row>
    <row r="75" spans="1:29">
      <c r="K75" s="20"/>
      <c r="M75" s="22"/>
      <c r="N75" s="59"/>
      <c r="S75" s="26"/>
    </row>
    <row r="76" spans="1:29">
      <c r="K76" s="20"/>
      <c r="M76" s="22"/>
      <c r="N76" s="22"/>
    </row>
    <row r="77" spans="1:29">
      <c r="K77" s="20"/>
      <c r="M77" s="22"/>
      <c r="N77" s="22"/>
      <c r="T77" s="39" t="s">
        <v>78</v>
      </c>
      <c r="U77" s="39"/>
      <c r="X77" s="19"/>
      <c r="Y77" s="18"/>
    </row>
    <row r="78" spans="1:29">
      <c r="K78" s="43"/>
      <c r="M78" s="22"/>
      <c r="N78" s="22"/>
      <c r="T78" s="54" t="s">
        <v>64</v>
      </c>
      <c r="U78" s="54"/>
      <c r="V78" s="45"/>
      <c r="W78" s="45"/>
      <c r="X78" s="55"/>
    </row>
    <row r="79" spans="1:29">
      <c r="K79" s="19"/>
      <c r="M79" s="22"/>
      <c r="N79" s="22"/>
      <c r="T79" s="56" t="s">
        <v>193</v>
      </c>
      <c r="U79" s="57"/>
      <c r="V79" s="57"/>
      <c r="W79" s="57"/>
      <c r="X79" s="58"/>
      <c r="Y79" s="18"/>
    </row>
    <row r="80" spans="1:29">
      <c r="K80" s="19"/>
      <c r="M80" s="22"/>
      <c r="N80" s="22"/>
      <c r="T80" s="56"/>
      <c r="U80" s="57"/>
      <c r="V80" s="57"/>
      <c r="W80" s="57"/>
      <c r="X80" s="117"/>
      <c r="Y80" s="91" t="s">
        <v>195</v>
      </c>
      <c r="AB80" s="95" t="s">
        <v>95</v>
      </c>
    </row>
    <row r="81" spans="11:29">
      <c r="K81" s="19"/>
      <c r="M81" s="22"/>
      <c r="N81" s="22"/>
      <c r="S81" s="82" t="s">
        <v>82</v>
      </c>
      <c r="T81" s="83"/>
      <c r="U81" s="84"/>
      <c r="V81" s="103"/>
      <c r="W81" s="84"/>
      <c r="X81" s="85"/>
      <c r="Y81" s="86" t="s">
        <v>182</v>
      </c>
      <c r="AB81" s="112" t="s">
        <v>196</v>
      </c>
    </row>
    <row r="82" spans="11:29">
      <c r="K82" s="19"/>
      <c r="M82" s="22"/>
      <c r="N82" s="22"/>
      <c r="S82" s="89" t="s">
        <v>83</v>
      </c>
      <c r="T82" s="60" t="s">
        <v>80</v>
      </c>
      <c r="U82" s="61" t="s">
        <v>4</v>
      </c>
      <c r="V82" s="40">
        <v>20364</v>
      </c>
      <c r="W82" s="40"/>
      <c r="X82" s="69"/>
      <c r="Y82" s="79"/>
      <c r="AB82" s="96"/>
    </row>
    <row r="83" spans="11:29">
      <c r="K83" s="19"/>
      <c r="M83" s="22"/>
      <c r="N83" s="22"/>
      <c r="S83" s="72"/>
      <c r="T83" s="61"/>
      <c r="U83" s="61" t="s">
        <v>5</v>
      </c>
      <c r="V83" s="40">
        <v>49695</v>
      </c>
      <c r="W83" s="40"/>
      <c r="X83" s="69"/>
      <c r="Y83" s="79"/>
      <c r="AB83" s="96"/>
    </row>
    <row r="84" spans="11:29">
      <c r="K84" s="19"/>
      <c r="M84" s="22"/>
      <c r="N84" s="22"/>
      <c r="S84" s="72"/>
      <c r="T84" s="61"/>
      <c r="U84" s="61" t="s">
        <v>7</v>
      </c>
      <c r="V84" s="48">
        <v>23750</v>
      </c>
      <c r="W84" s="40">
        <f>SUM(V82:V84)</f>
        <v>93809</v>
      </c>
      <c r="X84" s="69"/>
      <c r="Y84" s="80">
        <f>+W84</f>
        <v>93809</v>
      </c>
      <c r="Z84" s="18"/>
      <c r="AB84" s="96"/>
    </row>
    <row r="85" spans="11:29">
      <c r="K85" s="19"/>
      <c r="M85" s="22"/>
      <c r="N85" s="22"/>
      <c r="S85" s="72"/>
      <c r="T85" s="61" t="s">
        <v>158</v>
      </c>
      <c r="U85" s="61" t="s">
        <v>7</v>
      </c>
      <c r="V85" s="40"/>
      <c r="W85" s="40">
        <v>17863</v>
      </c>
      <c r="X85" s="69"/>
      <c r="Y85" s="80"/>
      <c r="Z85" s="18"/>
      <c r="AB85" s="96"/>
    </row>
    <row r="86" spans="11:29">
      <c r="K86" s="19"/>
      <c r="M86" s="22"/>
      <c r="N86" s="22"/>
      <c r="S86" s="72"/>
      <c r="T86" s="61" t="s">
        <v>159</v>
      </c>
      <c r="U86" s="61" t="s">
        <v>7</v>
      </c>
      <c r="V86" s="40"/>
      <c r="W86" s="40">
        <v>1401</v>
      </c>
      <c r="X86" s="69"/>
      <c r="Y86" s="80"/>
      <c r="Z86" s="18"/>
      <c r="AB86" s="96"/>
    </row>
    <row r="87" spans="11:29">
      <c r="K87" s="19"/>
      <c r="M87" s="22"/>
      <c r="N87" s="22"/>
      <c r="S87" s="72"/>
      <c r="T87" s="60" t="s">
        <v>116</v>
      </c>
      <c r="U87" s="61" t="s">
        <v>5</v>
      </c>
      <c r="V87" s="40"/>
      <c r="W87" s="40">
        <v>4792</v>
      </c>
      <c r="X87" s="73"/>
      <c r="Y87" s="80">
        <v>4792</v>
      </c>
      <c r="Z87" s="18"/>
      <c r="AB87" s="96"/>
    </row>
    <row r="88" spans="11:29">
      <c r="K88" s="19"/>
      <c r="M88" s="22"/>
      <c r="N88" s="22"/>
      <c r="P88" s="43"/>
      <c r="S88" s="70" t="s">
        <v>81</v>
      </c>
      <c r="T88" s="60"/>
      <c r="U88" s="61"/>
      <c r="V88" s="40"/>
      <c r="W88" s="40"/>
      <c r="X88" s="73"/>
      <c r="Y88" s="80"/>
      <c r="Z88" s="18"/>
      <c r="AB88" s="96"/>
    </row>
    <row r="89" spans="11:29">
      <c r="K89" s="19"/>
      <c r="M89" s="22"/>
      <c r="N89" s="22"/>
      <c r="P89" s="43"/>
      <c r="S89" s="72"/>
      <c r="T89" s="60" t="s">
        <v>89</v>
      </c>
      <c r="U89" s="61" t="s">
        <v>4</v>
      </c>
      <c r="V89" s="40">
        <v>0</v>
      </c>
      <c r="W89" s="40"/>
      <c r="X89" s="73"/>
      <c r="Y89" s="80">
        <v>0</v>
      </c>
      <c r="Z89" s="93"/>
      <c r="AA89" s="94"/>
      <c r="AB89" s="110">
        <v>0</v>
      </c>
      <c r="AC89" s="88" t="s">
        <v>98</v>
      </c>
    </row>
    <row r="90" spans="11:29">
      <c r="K90" s="19"/>
      <c r="M90" s="22"/>
      <c r="N90" s="22"/>
      <c r="P90" s="43"/>
      <c r="S90" s="72"/>
      <c r="T90" s="60" t="s">
        <v>90</v>
      </c>
      <c r="U90" s="61" t="s">
        <v>5</v>
      </c>
      <c r="V90" s="48">
        <v>0</v>
      </c>
      <c r="W90" s="40">
        <f>+V89+V90</f>
        <v>0</v>
      </c>
      <c r="X90" s="73"/>
      <c r="Y90" s="80">
        <v>0</v>
      </c>
      <c r="AB90" s="96"/>
    </row>
    <row r="91" spans="11:29">
      <c r="K91" s="19"/>
      <c r="M91" s="22"/>
      <c r="N91" s="22"/>
      <c r="P91" s="43"/>
      <c r="S91" s="60" t="s">
        <v>91</v>
      </c>
      <c r="T91" s="60"/>
      <c r="U91" s="61" t="s">
        <v>4</v>
      </c>
      <c r="V91" s="40"/>
      <c r="W91" s="48">
        <v>2025</v>
      </c>
      <c r="X91" s="71">
        <f>SUM(W84:W91)</f>
        <v>119890</v>
      </c>
      <c r="Y91" s="80">
        <f>+W91</f>
        <v>2025</v>
      </c>
      <c r="Z91" s="88" t="s">
        <v>63</v>
      </c>
      <c r="AB91" s="96"/>
    </row>
    <row r="92" spans="11:29">
      <c r="K92" s="19"/>
      <c r="M92" s="51"/>
      <c r="N92" s="34"/>
      <c r="S92" s="90" t="s">
        <v>84</v>
      </c>
      <c r="T92" s="60"/>
      <c r="U92" s="61"/>
      <c r="V92" s="40"/>
      <c r="W92" s="40"/>
      <c r="X92" s="69"/>
      <c r="Y92" s="79"/>
      <c r="AB92" s="96"/>
    </row>
    <row r="93" spans="11:29">
      <c r="K93" s="19"/>
      <c r="M93" s="51"/>
      <c r="N93" s="34"/>
      <c r="S93" s="87"/>
      <c r="T93" s="60" t="s">
        <v>93</v>
      </c>
      <c r="U93" s="61" t="s">
        <v>4</v>
      </c>
      <c r="V93" s="40"/>
      <c r="W93" s="40">
        <v>0</v>
      </c>
      <c r="X93" s="73"/>
      <c r="Y93" s="80">
        <f>+W93</f>
        <v>0</v>
      </c>
      <c r="AB93" s="96"/>
    </row>
    <row r="94" spans="11:29">
      <c r="K94" s="19"/>
      <c r="M94" s="22"/>
      <c r="N94" s="107"/>
      <c r="S94" s="87"/>
      <c r="T94" s="60" t="s">
        <v>148</v>
      </c>
      <c r="U94" s="61" t="s">
        <v>4</v>
      </c>
      <c r="V94" s="40">
        <v>0</v>
      </c>
      <c r="W94" s="40"/>
      <c r="X94" s="69"/>
      <c r="Y94" s="80">
        <v>0</v>
      </c>
      <c r="AB94" s="96"/>
    </row>
    <row r="95" spans="11:29">
      <c r="K95" s="19"/>
      <c r="M95" s="34"/>
      <c r="N95" s="34"/>
      <c r="S95" s="87"/>
      <c r="T95" s="60"/>
      <c r="U95" s="61" t="s">
        <v>5</v>
      </c>
      <c r="V95" s="48">
        <v>2086</v>
      </c>
      <c r="W95" s="40">
        <f>SUM(V94:V95)</f>
        <v>2086</v>
      </c>
      <c r="X95" s="69"/>
      <c r="Y95" s="80">
        <f>+W95</f>
        <v>2086</v>
      </c>
      <c r="AB95" s="96"/>
    </row>
    <row r="96" spans="11:29">
      <c r="K96" s="19"/>
      <c r="M96" s="34"/>
      <c r="N96" s="34"/>
      <c r="S96" s="87"/>
      <c r="T96" s="60" t="s">
        <v>85</v>
      </c>
      <c r="U96" s="61"/>
      <c r="V96" s="40"/>
      <c r="W96" s="40"/>
      <c r="X96" s="69"/>
      <c r="Y96" s="80"/>
      <c r="AB96" s="96"/>
    </row>
    <row r="97" spans="11:29">
      <c r="K97" s="19"/>
      <c r="M97" s="34"/>
      <c r="N97" s="34"/>
      <c r="S97" s="87"/>
      <c r="T97" s="60"/>
      <c r="U97" s="61" t="s">
        <v>4</v>
      </c>
      <c r="V97" s="40">
        <v>0</v>
      </c>
      <c r="W97" s="40"/>
      <c r="X97" s="69"/>
      <c r="Y97" s="80"/>
      <c r="AB97" s="96"/>
    </row>
    <row r="98" spans="11:29">
      <c r="K98" s="19"/>
      <c r="M98" s="34"/>
      <c r="N98" s="34"/>
      <c r="S98" s="87"/>
      <c r="T98" s="60"/>
      <c r="U98" s="61" t="s">
        <v>5</v>
      </c>
      <c r="V98" s="40">
        <v>0</v>
      </c>
      <c r="W98" s="40"/>
      <c r="X98" s="69"/>
      <c r="Y98" s="80"/>
      <c r="AB98" s="96"/>
    </row>
    <row r="99" spans="11:29">
      <c r="K99" s="19"/>
      <c r="M99" s="34"/>
      <c r="N99" s="34"/>
      <c r="S99" s="87"/>
      <c r="T99" s="60"/>
      <c r="U99" s="61" t="s">
        <v>7</v>
      </c>
      <c r="V99" s="48">
        <v>0</v>
      </c>
      <c r="W99" s="40">
        <f>SUM(V97:V99)</f>
        <v>0</v>
      </c>
      <c r="X99" s="69"/>
      <c r="Y99" s="80">
        <f>+W99</f>
        <v>0</v>
      </c>
      <c r="AB99" s="96"/>
    </row>
    <row r="100" spans="11:29">
      <c r="K100" s="19"/>
      <c r="S100" s="87"/>
      <c r="T100" s="60" t="s">
        <v>171</v>
      </c>
      <c r="U100" s="61"/>
      <c r="V100" s="40"/>
      <c r="W100" s="40"/>
      <c r="X100" s="69"/>
      <c r="Y100" s="79"/>
      <c r="AB100" s="96"/>
    </row>
    <row r="101" spans="11:29">
      <c r="K101" s="19"/>
      <c r="S101" s="87"/>
      <c r="T101" s="60"/>
      <c r="U101" s="61" t="s">
        <v>7</v>
      </c>
      <c r="V101" s="48">
        <v>38010</v>
      </c>
      <c r="W101" s="48">
        <f>SUM(V101:V101)</f>
        <v>38010</v>
      </c>
      <c r="X101" s="74">
        <f>SUM(W93:W101)</f>
        <v>40096</v>
      </c>
      <c r="Y101" s="80"/>
      <c r="AB101" s="96"/>
    </row>
    <row r="102" spans="11:29">
      <c r="K102" s="19"/>
      <c r="S102" s="87"/>
      <c r="T102" s="60" t="s">
        <v>194</v>
      </c>
      <c r="U102" s="60"/>
      <c r="V102" s="63"/>
      <c r="W102" s="63"/>
      <c r="X102" s="73">
        <f>SUM(X91:X101)</f>
        <v>159986</v>
      </c>
      <c r="Y102" s="79"/>
      <c r="AB102" s="96"/>
    </row>
    <row r="103" spans="11:29">
      <c r="K103" s="19"/>
      <c r="S103" s="90" t="s">
        <v>87</v>
      </c>
      <c r="T103" s="61"/>
      <c r="U103" s="61" t="s">
        <v>4</v>
      </c>
      <c r="V103" s="40"/>
      <c r="W103" s="40">
        <v>2263</v>
      </c>
      <c r="X103" s="69"/>
      <c r="Y103" s="79"/>
      <c r="AB103" s="96"/>
    </row>
    <row r="104" spans="11:29">
      <c r="K104" s="19"/>
      <c r="S104" s="87"/>
      <c r="T104" s="61"/>
      <c r="U104" s="61" t="s">
        <v>5</v>
      </c>
      <c r="V104" s="40"/>
      <c r="W104" s="40">
        <v>2816</v>
      </c>
      <c r="X104" s="69"/>
      <c r="Y104" s="79"/>
      <c r="AB104" s="96"/>
    </row>
    <row r="105" spans="11:29">
      <c r="K105" s="19"/>
      <c r="S105" s="87"/>
      <c r="T105" s="61"/>
      <c r="U105" s="61" t="s">
        <v>7</v>
      </c>
      <c r="V105" s="40"/>
      <c r="W105" s="48">
        <v>3250</v>
      </c>
      <c r="X105" s="74">
        <f>SUM(W103:W105)</f>
        <v>8329</v>
      </c>
      <c r="Y105" s="104"/>
      <c r="AB105" s="98"/>
    </row>
    <row r="106" spans="11:29">
      <c r="K106" s="19"/>
      <c r="S106" s="90" t="s">
        <v>88</v>
      </c>
      <c r="T106" s="60"/>
      <c r="U106" s="61"/>
      <c r="V106" s="62"/>
      <c r="W106" s="68"/>
      <c r="X106" s="73">
        <f>+X102+X105</f>
        <v>168315</v>
      </c>
      <c r="Y106" s="80">
        <f>SUM(Y84:Y101)</f>
        <v>102712</v>
      </c>
      <c r="Z106" s="88" t="s">
        <v>197</v>
      </c>
      <c r="AB106" s="111">
        <f>SUM(AB84:AB105)</f>
        <v>0</v>
      </c>
      <c r="AC106" s="88" t="s">
        <v>198</v>
      </c>
    </row>
    <row r="107" spans="11:29">
      <c r="K107" s="19"/>
      <c r="S107" s="75"/>
      <c r="T107" s="76"/>
      <c r="U107" s="76"/>
      <c r="V107" s="76"/>
      <c r="W107" s="77"/>
      <c r="X107" s="78"/>
      <c r="Y107" s="81"/>
      <c r="AB107" s="98"/>
    </row>
    <row r="108" spans="11:29">
      <c r="K108" s="19"/>
      <c r="Y108" s="19"/>
      <c r="AB108" s="43">
        <f>+(Y106+AB106)*1000</f>
        <v>102712000</v>
      </c>
      <c r="AC108" t="s">
        <v>199</v>
      </c>
    </row>
    <row r="109" spans="11:29">
      <c r="K109" s="19"/>
      <c r="W109" s="18"/>
      <c r="X109" s="43"/>
      <c r="Y109" s="43"/>
      <c r="AB109" s="18"/>
    </row>
    <row r="110" spans="11:29">
      <c r="K110" s="19"/>
      <c r="X110" s="43"/>
      <c r="Y110" s="43"/>
    </row>
    <row r="111" spans="11:29">
      <c r="K111" s="19"/>
      <c r="X111" s="43"/>
      <c r="Y111" s="19"/>
    </row>
    <row r="112" spans="11:29">
      <c r="X112" s="43"/>
    </row>
    <row r="113" spans="24:24">
      <c r="X113" s="18"/>
    </row>
  </sheetData>
  <mergeCells count="12">
    <mergeCell ref="AB12:AF12"/>
    <mergeCell ref="Z36:AA36"/>
    <mergeCell ref="A2:R2"/>
    <mergeCell ref="A3:R3"/>
    <mergeCell ref="G12:K12"/>
    <mergeCell ref="L12:V12"/>
    <mergeCell ref="X12:AA12"/>
    <mergeCell ref="A13:F13"/>
    <mergeCell ref="L13:P13"/>
    <mergeCell ref="Q13:U13"/>
    <mergeCell ref="A15:F15"/>
    <mergeCell ref="W36:Y36"/>
  </mergeCells>
  <printOptions horizontalCentered="1"/>
  <pageMargins left="0" right="0" top="0.19" bottom="0" header="0.17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Jan2017_FS</vt:lpstr>
      <vt:lpstr>Feb2017_FS</vt:lpstr>
      <vt:lpstr>Mar2017_FS</vt:lpstr>
      <vt:lpstr>Apr2017_FS</vt:lpstr>
      <vt:lpstr>May2017_FS</vt:lpstr>
      <vt:lpstr>Jun2017_MRD_FS</vt:lpstr>
      <vt:lpstr>Jul2017_FS</vt:lpstr>
      <vt:lpstr>Aug2017_FS</vt:lpstr>
      <vt:lpstr>Sep2017_FS</vt:lpstr>
      <vt:lpstr>Oct2017_FS</vt:lpstr>
      <vt:lpstr>Nov2017</vt:lpstr>
      <vt:lpstr>Dec2017Rev</vt:lpstr>
      <vt:lpstr>Sheet1</vt:lpstr>
      <vt:lpstr>Apr2017_FS!Print_Area</vt:lpstr>
      <vt:lpstr>Feb2017_FS!Print_Area</vt:lpstr>
      <vt:lpstr>Jan2017_FS!Print_Area</vt:lpstr>
      <vt:lpstr>Jul2017_FS!Print_Area</vt:lpstr>
      <vt:lpstr>Mar2017_FS!Print_Area</vt:lpstr>
      <vt:lpstr>May2017_FS!Print_Area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s. soquiat</dc:creator>
  <cp:lastModifiedBy>lssoquiat</cp:lastModifiedBy>
  <cp:lastPrinted>2017-12-27T10:17:45Z</cp:lastPrinted>
  <dcterms:created xsi:type="dcterms:W3CDTF">2014-07-07T07:45:52Z</dcterms:created>
  <dcterms:modified xsi:type="dcterms:W3CDTF">2018-01-31T06:18:58Z</dcterms:modified>
</cp:coreProperties>
</file>