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1"/>
  </bookViews>
  <sheets>
    <sheet name="Jan2017" sheetId="1" r:id="rId1"/>
    <sheet name="Feb2017" sheetId="2" r:id="rId2"/>
    <sheet name="Mar2017" sheetId="3" r:id="rId3"/>
    <sheet name="Apr2017" sheetId="4" r:id="rId4"/>
    <sheet name="May2017" sheetId="5" r:id="rId5"/>
    <sheet name="Jun2017" sheetId="8" r:id="rId6"/>
    <sheet name="Jul2017" sheetId="7" r:id="rId7"/>
    <sheet name="Aug2017" sheetId="9" r:id="rId8"/>
    <sheet name="Sept2017" sheetId="10" r:id="rId9"/>
    <sheet name="Oct2017" sheetId="11" r:id="rId10"/>
    <sheet name="Nov2017" sheetId="12" r:id="rId11"/>
    <sheet name="Dec2017_ConsoDisb" sheetId="13" r:id="rId12"/>
  </sheets>
  <definedNames>
    <definedName name="_xlnm.Print_Area" localSheetId="11">Dec2017_ConsoDisb!$A$1:$AF$71</definedName>
    <definedName name="_xlnm.Print_Area" localSheetId="10">'Nov2017'!$A$1:$AB$42</definedName>
  </definedNames>
  <calcPr calcId="124519"/>
</workbook>
</file>

<file path=xl/calcChain.xml><?xml version="1.0" encoding="utf-8"?>
<calcChain xmlns="http://schemas.openxmlformats.org/spreadsheetml/2006/main">
  <c r="G140" i="13"/>
  <c r="G142" s="1"/>
  <c r="G138"/>
  <c r="G141" s="1"/>
  <c r="M137"/>
  <c r="J134"/>
  <c r="J136" s="1"/>
  <c r="J139" s="1"/>
  <c r="M130"/>
  <c r="L128"/>
  <c r="M127"/>
  <c r="M134" s="1"/>
  <c r="M136" s="1"/>
  <c r="J127"/>
  <c r="G127"/>
  <c r="G134" s="1"/>
  <c r="G136" s="1"/>
  <c r="G139" s="1"/>
  <c r="G119"/>
  <c r="G121" s="1"/>
  <c r="G117"/>
  <c r="G120" s="1"/>
  <c r="M116"/>
  <c r="G109"/>
  <c r="F107"/>
  <c r="L107" s="1"/>
  <c r="M106" s="1"/>
  <c r="J106"/>
  <c r="M98"/>
  <c r="G98"/>
  <c r="M97"/>
  <c r="G97"/>
  <c r="J96"/>
  <c r="G96"/>
  <c r="J95"/>
  <c r="G95"/>
  <c r="M95" s="1"/>
  <c r="G93"/>
  <c r="M92"/>
  <c r="J92"/>
  <c r="M91"/>
  <c r="J91"/>
  <c r="J90"/>
  <c r="G90"/>
  <c r="M90" s="1"/>
  <c r="J89"/>
  <c r="G89"/>
  <c r="M89" s="1"/>
  <c r="G82"/>
  <c r="F80"/>
  <c r="L80" s="1"/>
  <c r="F79"/>
  <c r="L79" s="1"/>
  <c r="F78"/>
  <c r="L78" s="1"/>
  <c r="F77"/>
  <c r="L77" s="1"/>
  <c r="J76"/>
  <c r="J68"/>
  <c r="G68"/>
  <c r="G70" s="1"/>
  <c r="G66"/>
  <c r="G69" s="1"/>
  <c r="J65"/>
  <c r="G65"/>
  <c r="M65" s="1"/>
  <c r="G58"/>
  <c r="I56"/>
  <c r="J55" s="1"/>
  <c r="F56"/>
  <c r="L56" s="1"/>
  <c r="M55" s="1"/>
  <c r="G55"/>
  <c r="G62" s="1"/>
  <c r="G64" s="1"/>
  <c r="G67" s="1"/>
  <c r="AG48"/>
  <c r="AF48"/>
  <c r="AD46"/>
  <c r="AC46"/>
  <c r="AB46"/>
  <c r="AA46"/>
  <c r="AE46" s="1"/>
  <c r="Z46"/>
  <c r="U46"/>
  <c r="T46"/>
  <c r="O46"/>
  <c r="J46"/>
  <c r="V46" s="1"/>
  <c r="AD45"/>
  <c r="AC45"/>
  <c r="AB45"/>
  <c r="AA45"/>
  <c r="AE45" s="1"/>
  <c r="Z45"/>
  <c r="T45"/>
  <c r="U45" s="1"/>
  <c r="O45"/>
  <c r="J45"/>
  <c r="AD44"/>
  <c r="AC44"/>
  <c r="AB44"/>
  <c r="AA44"/>
  <c r="AE44" s="1"/>
  <c r="Z44"/>
  <c r="T44"/>
  <c r="O44"/>
  <c r="U44" s="1"/>
  <c r="J44"/>
  <c r="AD43"/>
  <c r="AC43"/>
  <c r="AB43"/>
  <c r="AA43"/>
  <c r="AE43" s="1"/>
  <c r="Z43"/>
  <c r="T43"/>
  <c r="O43"/>
  <c r="U43" s="1"/>
  <c r="J43"/>
  <c r="AD42"/>
  <c r="AC42"/>
  <c r="AB42"/>
  <c r="AA42"/>
  <c r="AE42" s="1"/>
  <c r="Z42"/>
  <c r="U42"/>
  <c r="T42"/>
  <c r="O42"/>
  <c r="J42"/>
  <c r="V42" s="1"/>
  <c r="AD41"/>
  <c r="AC41"/>
  <c r="AB41"/>
  <c r="AA41"/>
  <c r="AE41" s="1"/>
  <c r="Z41"/>
  <c r="T41"/>
  <c r="U41" s="1"/>
  <c r="O41"/>
  <c r="J41"/>
  <c r="AD40"/>
  <c r="AC40"/>
  <c r="AB40"/>
  <c r="AA40"/>
  <c r="AE40" s="1"/>
  <c r="T40"/>
  <c r="O40"/>
  <c r="U40" s="1"/>
  <c r="J40"/>
  <c r="AD39"/>
  <c r="AC39"/>
  <c r="AB39"/>
  <c r="AA39"/>
  <c r="AE39" s="1"/>
  <c r="J109" s="1"/>
  <c r="M109" s="1"/>
  <c r="T39"/>
  <c r="U39" s="1"/>
  <c r="O39"/>
  <c r="J39"/>
  <c r="V39" s="1"/>
  <c r="AB38"/>
  <c r="J38"/>
  <c r="AD37"/>
  <c r="AC37"/>
  <c r="AB37"/>
  <c r="AA37"/>
  <c r="AE37" s="1"/>
  <c r="T37"/>
  <c r="O37"/>
  <c r="U37" s="1"/>
  <c r="J37"/>
  <c r="AD36"/>
  <c r="AC36"/>
  <c r="AA36"/>
  <c r="T36"/>
  <c r="O36"/>
  <c r="U36" s="1"/>
  <c r="J36"/>
  <c r="V36" s="1"/>
  <c r="G36"/>
  <c r="AB36" s="1"/>
  <c r="AD35"/>
  <c r="AC35"/>
  <c r="AA35"/>
  <c r="U35"/>
  <c r="T35"/>
  <c r="O35"/>
  <c r="G35"/>
  <c r="J35" s="1"/>
  <c r="AD34"/>
  <c r="AC34"/>
  <c r="AA34"/>
  <c r="Z34"/>
  <c r="Y34"/>
  <c r="X34"/>
  <c r="W34"/>
  <c r="T34"/>
  <c r="S34"/>
  <c r="R34"/>
  <c r="Q34"/>
  <c r="P34"/>
  <c r="O34"/>
  <c r="N34"/>
  <c r="M34"/>
  <c r="L34"/>
  <c r="K34"/>
  <c r="I34"/>
  <c r="H34"/>
  <c r="G34"/>
  <c r="F34"/>
  <c r="AD33"/>
  <c r="AC33"/>
  <c r="AB33"/>
  <c r="AA33"/>
  <c r="AE33" s="1"/>
  <c r="Z33"/>
  <c r="T33"/>
  <c r="O33"/>
  <c r="U33" s="1"/>
  <c r="J33"/>
  <c r="AD32"/>
  <c r="AC32"/>
  <c r="AB32"/>
  <c r="AA32"/>
  <c r="AE32" s="1"/>
  <c r="Z32"/>
  <c r="T32"/>
  <c r="O32"/>
  <c r="U32" s="1"/>
  <c r="J32"/>
  <c r="AD31"/>
  <c r="AC31"/>
  <c r="AB31"/>
  <c r="AA31"/>
  <c r="AE31" s="1"/>
  <c r="Z31"/>
  <c r="T31"/>
  <c r="O31"/>
  <c r="U31" s="1"/>
  <c r="J31"/>
  <c r="AD30"/>
  <c r="AC30"/>
  <c r="AB30"/>
  <c r="AA30"/>
  <c r="AE30" s="1"/>
  <c r="T30"/>
  <c r="O30"/>
  <c r="U30" s="1"/>
  <c r="J30"/>
  <c r="AD29"/>
  <c r="AC29"/>
  <c r="AB29"/>
  <c r="AA29"/>
  <c r="AE29" s="1"/>
  <c r="T29"/>
  <c r="O29"/>
  <c r="U29" s="1"/>
  <c r="J29"/>
  <c r="AD28"/>
  <c r="AC28"/>
  <c r="AB28"/>
  <c r="AA28"/>
  <c r="AE28" s="1"/>
  <c r="T28"/>
  <c r="O28"/>
  <c r="U28" s="1"/>
  <c r="U27" s="1"/>
  <c r="J28"/>
  <c r="AD27"/>
  <c r="AC27"/>
  <c r="AB27"/>
  <c r="AA27"/>
  <c r="Z27"/>
  <c r="Y27"/>
  <c r="X27"/>
  <c r="W27"/>
  <c r="V27"/>
  <c r="T27"/>
  <c r="S27"/>
  <c r="R27"/>
  <c r="Q27"/>
  <c r="P27"/>
  <c r="O27"/>
  <c r="N27"/>
  <c r="M27"/>
  <c r="L27"/>
  <c r="K27"/>
  <c r="J27"/>
  <c r="I27"/>
  <c r="H27"/>
  <c r="G27"/>
  <c r="F27"/>
  <c r="AD25"/>
  <c r="AC25"/>
  <c r="AB25"/>
  <c r="AA25"/>
  <c r="AE25" s="1"/>
  <c r="J138" s="1"/>
  <c r="Z25"/>
  <c r="U25"/>
  <c r="T25"/>
  <c r="O25"/>
  <c r="J25"/>
  <c r="V25" s="1"/>
  <c r="AD24"/>
  <c r="AC24"/>
  <c r="AB24"/>
  <c r="AA24"/>
  <c r="AE24" s="1"/>
  <c r="Z24"/>
  <c r="T24"/>
  <c r="O24"/>
  <c r="U24" s="1"/>
  <c r="J24"/>
  <c r="V24" s="1"/>
  <c r="AD23"/>
  <c r="AC23"/>
  <c r="AB23"/>
  <c r="AA23"/>
  <c r="AE23" s="1"/>
  <c r="Z23"/>
  <c r="T23"/>
  <c r="U23" s="1"/>
  <c r="J23"/>
  <c r="AD22"/>
  <c r="AC22"/>
  <c r="AB22"/>
  <c r="AA22"/>
  <c r="AE22" s="1"/>
  <c r="Z22"/>
  <c r="T22"/>
  <c r="U22" s="1"/>
  <c r="O22"/>
  <c r="J22"/>
  <c r="AD21"/>
  <c r="AC21"/>
  <c r="AB21"/>
  <c r="AA21"/>
  <c r="AE21" s="1"/>
  <c r="Z21"/>
  <c r="T21"/>
  <c r="O21"/>
  <c r="U21" s="1"/>
  <c r="J21"/>
  <c r="AD20"/>
  <c r="AC20"/>
  <c r="AA20"/>
  <c r="AE20" s="1"/>
  <c r="Z20"/>
  <c r="T20"/>
  <c r="O20"/>
  <c r="U20" s="1"/>
  <c r="U19" s="1"/>
  <c r="U17" s="1"/>
  <c r="J20"/>
  <c r="G20"/>
  <c r="AB20" s="1"/>
  <c r="AB19" s="1"/>
  <c r="AB17" s="1"/>
  <c r="AD19"/>
  <c r="AC19"/>
  <c r="AA19"/>
  <c r="Z19"/>
  <c r="Y19"/>
  <c r="X19"/>
  <c r="W19"/>
  <c r="T19"/>
  <c r="S19"/>
  <c r="R19"/>
  <c r="Q19"/>
  <c r="P19"/>
  <c r="O19"/>
  <c r="N19"/>
  <c r="M19"/>
  <c r="L19"/>
  <c r="K19"/>
  <c r="J19"/>
  <c r="I19"/>
  <c r="H19"/>
  <c r="G19"/>
  <c r="F19"/>
  <c r="AD17"/>
  <c r="AD48" s="1"/>
  <c r="AC17"/>
  <c r="AC48" s="1"/>
  <c r="AA17"/>
  <c r="AA48" s="1"/>
  <c r="Z17"/>
  <c r="Z48" s="1"/>
  <c r="Y17"/>
  <c r="Y48" s="1"/>
  <c r="X17"/>
  <c r="X48" s="1"/>
  <c r="W17"/>
  <c r="W48" s="1"/>
  <c r="T17"/>
  <c r="T48" s="1"/>
  <c r="S17"/>
  <c r="S48" s="1"/>
  <c r="R17"/>
  <c r="R48" s="1"/>
  <c r="Q17"/>
  <c r="Q48" s="1"/>
  <c r="P17"/>
  <c r="P48" s="1"/>
  <c r="O17"/>
  <c r="O48" s="1"/>
  <c r="N17"/>
  <c r="N48" s="1"/>
  <c r="M17"/>
  <c r="M48" s="1"/>
  <c r="L17"/>
  <c r="L48" s="1"/>
  <c r="K17"/>
  <c r="K48" s="1"/>
  <c r="J17"/>
  <c r="I17"/>
  <c r="I48" s="1"/>
  <c r="H17"/>
  <c r="H48" s="1"/>
  <c r="G17"/>
  <c r="G48" s="1"/>
  <c r="F17"/>
  <c r="F48" s="1"/>
  <c r="AE2"/>
  <c r="V35" l="1"/>
  <c r="J34"/>
  <c r="AE19"/>
  <c r="V20"/>
  <c r="V19" s="1"/>
  <c r="V17" s="1"/>
  <c r="V31"/>
  <c r="V32"/>
  <c r="V33"/>
  <c r="AE36"/>
  <c r="M76"/>
  <c r="G100"/>
  <c r="M138"/>
  <c r="M141" s="1"/>
  <c r="J141"/>
  <c r="J142" s="1"/>
  <c r="AB48"/>
  <c r="V21"/>
  <c r="V22"/>
  <c r="V23"/>
  <c r="V37"/>
  <c r="V40"/>
  <c r="V43"/>
  <c r="V44"/>
  <c r="V45"/>
  <c r="M113"/>
  <c r="M115" s="1"/>
  <c r="J48"/>
  <c r="J117"/>
  <c r="J120" s="1"/>
  <c r="J121" s="1"/>
  <c r="AE27"/>
  <c r="U34"/>
  <c r="U48" s="1"/>
  <c r="V41"/>
  <c r="J113"/>
  <c r="J115" s="1"/>
  <c r="J118" s="1"/>
  <c r="M139"/>
  <c r="AB35"/>
  <c r="AB34" s="1"/>
  <c r="G99"/>
  <c r="M119"/>
  <c r="M121" s="1"/>
  <c r="M68"/>
  <c r="M96"/>
  <c r="M117"/>
  <c r="M120" s="1"/>
  <c r="G76"/>
  <c r="G86" s="1"/>
  <c r="G88" s="1"/>
  <c r="G94" s="1"/>
  <c r="G106"/>
  <c r="G113" s="1"/>
  <c r="G115" s="1"/>
  <c r="G118" s="1"/>
  <c r="M140"/>
  <c r="M142" s="1"/>
  <c r="V34" l="1"/>
  <c r="V48" s="1"/>
  <c r="M118"/>
  <c r="AE35"/>
  <c r="AE17"/>
  <c r="J82" l="1"/>
  <c r="AE34"/>
  <c r="J93"/>
  <c r="AE48"/>
  <c r="J99" l="1"/>
  <c r="J100" s="1"/>
  <c r="J66"/>
  <c r="M93"/>
  <c r="M99" s="1"/>
  <c r="M100" s="1"/>
  <c r="J86"/>
  <c r="J88" s="1"/>
  <c r="J94" s="1"/>
  <c r="J58"/>
  <c r="M82"/>
  <c r="M86" s="1"/>
  <c r="M88" s="1"/>
  <c r="M58" l="1"/>
  <c r="M62" s="1"/>
  <c r="M64" s="1"/>
  <c r="M67" s="1"/>
  <c r="J62"/>
  <c r="J64" s="1"/>
  <c r="J67" s="1"/>
  <c r="J69"/>
  <c r="J70" s="1"/>
  <c r="M66"/>
  <c r="M69" s="1"/>
  <c r="M70" s="1"/>
  <c r="M94"/>
  <c r="F39" i="5" l="1"/>
</calcChain>
</file>

<file path=xl/comments1.xml><?xml version="1.0" encoding="utf-8"?>
<comments xmlns="http://schemas.openxmlformats.org/spreadsheetml/2006/main">
  <authors>
    <author>lssoquiat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lssoquiat:</t>
        </r>
        <r>
          <rPr>
            <sz val="9"/>
            <color indexed="81"/>
            <rFont val="Tahoma"/>
            <family val="2"/>
          </rPr>
          <t xml:space="preserve">
dtd 6/5/17 of Car</t>
        </r>
      </text>
    </comment>
  </commentList>
</comments>
</file>

<file path=xl/sharedStrings.xml><?xml version="1.0" encoding="utf-8"?>
<sst xmlns="http://schemas.openxmlformats.org/spreadsheetml/2006/main" count="1195" uniqueCount="191">
  <si>
    <t>FAR No. 4</t>
  </si>
  <si>
    <t>MONTHLY REPORT OF DISBURSEMENTS </t>
  </si>
  <si>
    <t>For the month of January, 2017</t>
  </si>
  <si>
    <t>Department: Department of Finance (DOF)</t>
  </si>
  <si>
    <t>Agency: Office of the Secretary</t>
  </si>
  <si>
    <t>Operating Unit: N/A</t>
  </si>
  <si>
    <t>Organization Code (UACS): 110010000000</t>
  </si>
  <si>
    <t>Fund Cluster: 04 - Special Account - Foreign Assisted/Grant</t>
  </si>
  <si>
    <t>Report Status: SUBMITTED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</si>
  <si>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</si>
  <si>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</si>
  <si>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</si>
  <si>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</si>
  <si>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</si>
  <si>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</si>
  <si>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</si>
  <si>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PRIOR YEAR'S ACCOUNTS PAYABLE</t>
  </si>
  <si>
    <t>CURRENT YEAR'S ACCOUNTS PAYABLE</t>
  </si>
  <si>
    <t>PS</t>
  </si>
  <si>
    <t>MOOE</t>
  </si>
  <si>
    <t>Fin. Exp</t>
  </si>
  <si>
    <t>CO</t>
  </si>
  <si>
    <t>TOTAL</t>
  </si>
  <si>
    <t>Sub-Total</t>
  </si>
  <si>
    <t>6=(2+3+4+5)</t>
  </si>
  <si>
    <t>11=(7+8+9+10)</t>
  </si>
  <si>
    <t>16=(12+13+14+15)</t>
  </si>
  <si>
    <t>17=(11+16)</t>
  </si>
  <si>
    <t>18=(6+17)</t>
  </si>
  <si>
    <t>22=(19+20+21)</t>
  </si>
  <si>
    <t>27=(23+24+25+26)</t>
  </si>
  <si>
    <t>Notice of Cash Allocation (NCA)</t>
  </si>
  <si>
    <t>MDS Checks Issued</t>
  </si>
  <si>
    <t>Advice to Debit Account</t>
  </si>
  <si>
    <t>Notice of Transfer of Allocation (NTA)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</si>
  <si>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</si>
  <si>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</si>
  <si>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</si>
  <si>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</si>
  <si>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Stamp, etc.)</t>
  </si>
  <si>
    <t>Summary </t>
  </si>
  <si>
    <t>PREVIOUS REPORT</t>
  </si>
  <si>
    <t>CURRENT MONTH</t>
  </si>
  <si>
    <t>AS OF DATE</t>
  </si>
  <si>
    <t>Total Disbursement Authorities Received</t>
  </si>
  <si>
    <t>NCA</t>
  </si>
  <si>
    <t>Working Fund</t>
  </si>
  <si>
    <t>TRA</t>
  </si>
  <si>
    <t>CDC</t>
  </si>
  <si>
    <t>NCAA</t>
  </si>
  <si>
    <t>Less: Notice of Transfer Allocations (NTA)* issued</t>
  </si>
  <si>
    <t>Total Disbursements Authorities Available</t>
  </si>
  <si>
    <t>Less</t>
  </si>
  <si>
    <t>Lapsed NCA</t>
  </si>
  <si>
    <t>Disbursements</t>
  </si>
  <si>
    <t>Balance of Disbursements Authorities as of to date</t>
  </si>
  <si>
    <t>Total Disbursements Program</t>
  </si>
  <si>
    <t>Less: * Actual Disbursements</t>
  </si>
  <si>
    <t>(Over)/Under spending~</t>
  </si>
  <si>
    <t>Certified Correct:</t>
  </si>
  <si>
    <t>Approved By:</t>
  </si>
  <si>
    <t>Agency Chief Accountant</t>
  </si>
  <si>
    <t>Head of Agency or Authorized Representative</t>
  </si>
  <si>
    <t>Date: 02/Mar/2017</t>
  </si>
  <si>
    <t>Date: 16/Mar/2017</t>
  </si>
  <si>
    <t>This report was generated using the Unified Reporting System on 29/12/2017 13:52</t>
  </si>
  <si>
    <t>For the month of February, 2017</t>
  </si>
  <si>
    <t>Date: 29/Mar/2017</t>
  </si>
  <si>
    <t>Date: 31/Mar/2017</t>
  </si>
  <si>
    <t>This report was generated using the Unified Reporting System on 29/12/2017 14:02</t>
  </si>
  <si>
    <t>Lolita R.Verdadero</t>
  </si>
  <si>
    <t>Gil S. Beltran</t>
  </si>
  <si>
    <t>For the month of March, 2017</t>
  </si>
  <si>
    <t>Date: 26/Apr/2017</t>
  </si>
  <si>
    <t>Date: 27/Apr/2017</t>
  </si>
  <si>
    <t>This report was generated using the Unified Reporting System on 29/12/2017 14:22</t>
  </si>
  <si>
    <t>For the month of April, 2017</t>
  </si>
  <si>
    <t>Date: 24/May/2017</t>
  </si>
  <si>
    <t>Date: 25/May/2017</t>
  </si>
  <si>
    <t>This report was generated using the Unified Reporting System on 29/12/2017 14:29</t>
  </si>
  <si>
    <t>For the month of May, 2017</t>
  </si>
  <si>
    <t>Date: 28/Jun/2017</t>
  </si>
  <si>
    <t>This report was generated using the Unified Reporting System on 29/12/2017 14:55</t>
  </si>
  <si>
    <t>For the month of July, 2017</t>
  </si>
  <si>
    <t>Date: 29/Aug/2017</t>
  </si>
  <si>
    <t>This report was generated using the Unified Reporting System on 29/12/2017 15:00</t>
  </si>
  <si>
    <t>For the month of June, 2017</t>
  </si>
  <si>
    <t>Date: 26/Jul/2017</t>
  </si>
  <si>
    <t>This report was generated using the Unified Reporting System on 29/12/2017 15:06</t>
  </si>
  <si>
    <t>For the month of August, 2017</t>
  </si>
  <si>
    <t>Date: 27/Sep/2017</t>
  </si>
  <si>
    <t>Date: 28/Sep/2017</t>
  </si>
  <si>
    <t>This report was generated using the Unified Reporting System on 29/12/2017 15:23</t>
  </si>
  <si>
    <t>For the month of September, 2017</t>
  </si>
  <si>
    <t>Date: 24/Oct/2017</t>
  </si>
  <si>
    <t>Date: 27/Oct/2017</t>
  </si>
  <si>
    <t>This report was generated using the Unified Reporting System on 29/12/2017 15:29</t>
  </si>
  <si>
    <t>For the month of October, 2017</t>
  </si>
  <si>
    <t>Date: 27/Nov/2017</t>
  </si>
  <si>
    <t>This report was generated using the Unified Reporting System on 29/12/2017 15:35</t>
  </si>
  <si>
    <t>For the month of November, 2017</t>
  </si>
  <si>
    <t>Date: 28/Dec/2017</t>
  </si>
  <si>
    <t>This report was generated using the Unified Reporting System on 29/12/2017 15:40</t>
  </si>
  <si>
    <r>
      <t xml:space="preserve">Total Disbursements Program </t>
    </r>
    <r>
      <rPr>
        <b/>
        <sz val="8"/>
        <color theme="1"/>
        <rFont val="Arial"/>
        <family val="2"/>
      </rPr>
      <t xml:space="preserve">  </t>
    </r>
    <r>
      <rPr>
        <b/>
        <i/>
        <sz val="8"/>
        <color theme="1"/>
        <rFont val="Arial"/>
        <family val="2"/>
      </rPr>
      <t xml:space="preserve"> (Prev Report adjusted)</t>
    </r>
  </si>
  <si>
    <r>
      <t xml:space="preserve">Disbursements </t>
    </r>
    <r>
      <rPr>
        <b/>
        <i/>
        <sz val="8"/>
        <color theme="1"/>
        <rFont val="Arial"/>
        <family val="2"/>
      </rPr>
      <t xml:space="preserve"> (Prev Report adjusted)</t>
    </r>
  </si>
  <si>
    <r>
      <t xml:space="preserve">Lapsed NCA    </t>
    </r>
    <r>
      <rPr>
        <b/>
        <i/>
        <sz val="8"/>
        <color theme="1"/>
        <rFont val="Arial"/>
        <family val="2"/>
      </rPr>
      <t>(Prev Report adjusted)</t>
    </r>
  </si>
  <si>
    <r>
      <t>Less: * Actual Disbursements</t>
    </r>
    <r>
      <rPr>
        <b/>
        <i/>
        <sz val="10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(Prev Report adjusted)</t>
    </r>
  </si>
  <si>
    <r>
      <t>Disbursements</t>
    </r>
    <r>
      <rPr>
        <i/>
        <sz val="10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 xml:space="preserve"> (Prev Report adjusted)</t>
    </r>
  </si>
  <si>
    <r>
      <t xml:space="preserve">Less: * Actual Disbursements </t>
    </r>
    <r>
      <rPr>
        <b/>
        <i/>
        <sz val="9"/>
        <color theme="1"/>
        <rFont val="Arial"/>
        <family val="2"/>
      </rPr>
      <t>(Prev Report adjusted)</t>
    </r>
  </si>
  <si>
    <r>
      <t xml:space="preserve">Disbursements </t>
    </r>
    <r>
      <rPr>
        <b/>
        <i/>
        <sz val="9"/>
        <color theme="1"/>
        <rFont val="Arial"/>
        <family val="2"/>
      </rPr>
      <t xml:space="preserve"> (including 409T DM on EITI LCCA)</t>
    </r>
  </si>
  <si>
    <r>
      <t>Disbursements</t>
    </r>
    <r>
      <rPr>
        <i/>
        <sz val="8"/>
        <color theme="1"/>
        <rFont val="Arial"/>
        <family val="2"/>
      </rPr>
      <t xml:space="preserve"> (Prev Report adjusted due to cancellation of 407T EITI)</t>
    </r>
  </si>
  <si>
    <t>AS OF DATE 11/30/2017</t>
  </si>
  <si>
    <t>MONTHLY REPORT OF DISBURSEMENTS</t>
  </si>
  <si>
    <t xml:space="preserve">Month of DECEMBER 2017  (Consolidated KFW-Idf/NPGA4/EITI2)     </t>
  </si>
  <si>
    <t>Department</t>
  </si>
  <si>
    <t>:</t>
  </si>
  <si>
    <t>Department of Finance (DOF)</t>
  </si>
  <si>
    <t>Agency</t>
  </si>
  <si>
    <t>Office of the Secretary</t>
  </si>
  <si>
    <t>Operating Unit</t>
  </si>
  <si>
    <t>Organizational Code (UACS)</t>
  </si>
  <si>
    <t xml:space="preserve">  11</t>
  </si>
  <si>
    <t>Funding Sources Code (as clustered) :</t>
  </si>
  <si>
    <t>TRUST LIABILITTIES</t>
  </si>
  <si>
    <t>CURRENT YEAR ACCOUNTS PAYABLE</t>
  </si>
  <si>
    <t>SUB-</t>
  </si>
  <si>
    <t>Remarks</t>
  </si>
  <si>
    <t xml:space="preserve">Fin. Exp </t>
  </si>
  <si>
    <t>Total</t>
  </si>
  <si>
    <t>6= (2+3+4+5)</t>
  </si>
  <si>
    <t>11= (7+8+9+10)</t>
  </si>
  <si>
    <t xml:space="preserve">               KFW-IDF (Capdev)</t>
  </si>
  <si>
    <t xml:space="preserve">               KFW-IDF (IABPI)</t>
  </si>
  <si>
    <t xml:space="preserve">               KFW-IDF (StratCom)</t>
  </si>
  <si>
    <t xml:space="preserve">               KFW-IDF (Cefir)</t>
  </si>
  <si>
    <t xml:space="preserve">               NPGA 4 </t>
  </si>
  <si>
    <t xml:space="preserve">               EITI 2 </t>
  </si>
  <si>
    <t xml:space="preserve">               NPGA 4</t>
  </si>
  <si>
    <t xml:space="preserve">               EITI 2</t>
  </si>
  <si>
    <t>Working Fund (NCA issued to BTR)</t>
  </si>
  <si>
    <t>Others (CDT, BTr Docs Stamps, etc)</t>
  </si>
  <si>
    <t xml:space="preserve">Total </t>
  </si>
  <si>
    <t>Consolidated KFW-IDF/NPGA4/EITI2</t>
  </si>
  <si>
    <t xml:space="preserve">Previous Report as of11/30/2017 </t>
  </si>
  <si>
    <t>This month (December)</t>
  </si>
  <si>
    <t>As of 12/31/2017</t>
  </si>
  <si>
    <t>Total Disbursement Authorities Received:</t>
  </si>
  <si>
    <t xml:space="preserve">NCA </t>
  </si>
  <si>
    <t xml:space="preserve">      NCA-BMB-A-17-000</t>
  </si>
  <si>
    <t>Working fund</t>
  </si>
  <si>
    <t>LOLITA R. VERDADERO</t>
  </si>
  <si>
    <t>GIL S BELTRAN</t>
  </si>
  <si>
    <t>Undersecretary</t>
  </si>
  <si>
    <t>Date:</t>
  </si>
  <si>
    <t>Others (CDT, BTr docs Stamp, etc.)</t>
  </si>
  <si>
    <t xml:space="preserve">     Total</t>
  </si>
  <si>
    <t>Less: Notice of Transfer allocation (NTA) issued</t>
  </si>
  <si>
    <t>Total Disbursement Authorities Available:</t>
  </si>
  <si>
    <t>Less:</t>
  </si>
  <si>
    <t xml:space="preserve">Lapsed NCA </t>
  </si>
  <si>
    <t>Disbursements (MDS Checks/ADA/TRA)*</t>
  </si>
  <si>
    <t>Balance of Disbursement Authorities  as of to date</t>
  </si>
  <si>
    <t xml:space="preserve">Total (Cash) Disbursement Program  </t>
  </si>
  <si>
    <t>Less: Actual Disbursements</t>
  </si>
  <si>
    <t>(Over)/Under Spending</t>
  </si>
  <si>
    <t>KFW - IDF (IABPI and CapDev and StratCom/CEFIR)</t>
  </si>
  <si>
    <t>SUMMARY:</t>
  </si>
  <si>
    <t xml:space="preserve">Previous Report as of 11/30/2017 </t>
  </si>
  <si>
    <t xml:space="preserve">      NCA-BMB-A-17-0002396/0011851/17685  (IABPI)</t>
  </si>
  <si>
    <t xml:space="preserve">      NCA-BMB-A-17-0007192/17723 CapDev)</t>
  </si>
  <si>
    <t xml:space="preserve">      NCA-BMB-A-17-0010375 dtd 9/4/2017(Strat Com)</t>
  </si>
  <si>
    <t xml:space="preserve">      NCA-BMB-A-17-0016063 dtd 10/4/2017(CEFIR)</t>
  </si>
  <si>
    <t>Lapsed NCA (IABPI)</t>
  </si>
  <si>
    <t>Lapsed NCA (CapDev)</t>
  </si>
  <si>
    <t>Lapsed NCA (StratCom)</t>
  </si>
  <si>
    <t>Lapsed NCA  (Cefir)</t>
  </si>
  <si>
    <t>Total (Cash) Disbursement Program  (CapDev)</t>
  </si>
  <si>
    <t>Total (Cash) Disbursement Program  (IABPI)</t>
  </si>
  <si>
    <t>Total (Cash) Disbursement Program  (StratCom)</t>
  </si>
  <si>
    <t>Total (Cash) Disbursement Program  (CEFIR)</t>
  </si>
  <si>
    <t>NPGA4  CVF2</t>
  </si>
  <si>
    <t>Previous Report as of 11/30/2017</t>
  </si>
  <si>
    <t xml:space="preserve">This month (December) </t>
  </si>
  <si>
    <t xml:space="preserve">      NCA-BMB-A-17-0009832  dtd 7/03/2017</t>
  </si>
  <si>
    <t>EITI 2</t>
  </si>
  <si>
    <t xml:space="preserve">Previous Report as of 11/30/2017  </t>
  </si>
  <si>
    <t xml:space="preserve">      NCA-BMB-A-17-0003839 dtd 3/10/2017</t>
  </si>
  <si>
    <t>References:</t>
  </si>
  <si>
    <t>KFW-IDF, see Disbursement Summary file under Grant KFW</t>
  </si>
  <si>
    <t>EITI, see Check files under grant EITI</t>
  </si>
  <si>
    <t>Total Disbursements Program (Rev)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</si>
</sst>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5"/>
      <color theme="1"/>
      <name val="Arial"/>
      <family val="2"/>
    </font>
    <font>
      <b/>
      <sz val="4"/>
      <color theme="1"/>
      <name val="Arial"/>
      <family val="2"/>
    </font>
    <font>
      <i/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5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4"/>
    </xf>
    <xf numFmtId="4" fontId="8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4" fontId="7" fillId="0" borderId="0" xfId="0" applyNumberFormat="1" applyFont="1"/>
    <xf numFmtId="0" fontId="8" fillId="0" borderId="0" xfId="0" applyFont="1" applyAlignment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4" fontId="15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/>
    <xf numFmtId="4" fontId="7" fillId="0" borderId="0" xfId="0" applyNumberFormat="1" applyFont="1" applyBorder="1"/>
    <xf numFmtId="0" fontId="17" fillId="0" borderId="0" xfId="0" applyFont="1" applyAlignment="1">
      <alignment wrapText="1"/>
    </xf>
    <xf numFmtId="0" fontId="11" fillId="0" borderId="0" xfId="0" applyFont="1"/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22" fontId="23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24" fillId="0" borderId="0" xfId="0" applyFont="1"/>
    <xf numFmtId="43" fontId="20" fillId="0" borderId="0" xfId="0" applyNumberFormat="1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25" xfId="0" applyBorder="1"/>
    <xf numFmtId="0" fontId="0" fillId="0" borderId="23" xfId="0" applyBorder="1"/>
    <xf numFmtId="0" fontId="0" fillId="0" borderId="24" xfId="0" applyBorder="1"/>
    <xf numFmtId="0" fontId="11" fillId="0" borderId="2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6" xfId="0" applyFont="1" applyBorder="1"/>
    <xf numFmtId="0" fontId="25" fillId="0" borderId="19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17" fontId="0" fillId="0" borderId="0" xfId="0" quotePrefix="1" applyNumberFormat="1"/>
    <xf numFmtId="0" fontId="0" fillId="0" borderId="20" xfId="0" applyBorder="1"/>
    <xf numFmtId="0" fontId="0" fillId="0" borderId="21" xfId="0" applyBorder="1"/>
    <xf numFmtId="0" fontId="0" fillId="0" borderId="22" xfId="0" applyBorder="1"/>
    <xf numFmtId="43" fontId="26" fillId="0" borderId="26" xfId="0" applyNumberFormat="1" applyFont="1" applyBorder="1"/>
    <xf numFmtId="0" fontId="0" fillId="0" borderId="26" xfId="0" applyBorder="1"/>
    <xf numFmtId="0" fontId="27" fillId="0" borderId="0" xfId="0" applyFont="1"/>
    <xf numFmtId="43" fontId="26" fillId="0" borderId="26" xfId="1" applyFont="1" applyBorder="1"/>
    <xf numFmtId="43" fontId="0" fillId="0" borderId="0" xfId="0" applyNumberFormat="1"/>
    <xf numFmtId="43" fontId="27" fillId="0" borderId="0" xfId="1" applyFont="1"/>
    <xf numFmtId="0" fontId="0" fillId="0" borderId="0" xfId="0" applyFill="1" applyBorder="1"/>
    <xf numFmtId="0" fontId="0" fillId="0" borderId="22" xfId="0" applyFill="1" applyBorder="1"/>
    <xf numFmtId="43" fontId="23" fillId="0" borderId="26" xfId="1" applyFont="1" applyFill="1" applyBorder="1"/>
    <xf numFmtId="43" fontId="23" fillId="0" borderId="26" xfId="1" applyFont="1" applyBorder="1"/>
    <xf numFmtId="43" fontId="28" fillId="0" borderId="26" xfId="1" applyFont="1" applyBorder="1"/>
    <xf numFmtId="0" fontId="0" fillId="0" borderId="23" xfId="0" applyFill="1" applyBorder="1"/>
    <xf numFmtId="43" fontId="23" fillId="0" borderId="27" xfId="1" applyFont="1" applyBorder="1"/>
    <xf numFmtId="0" fontId="0" fillId="0" borderId="27" xfId="0" applyBorder="1"/>
    <xf numFmtId="0" fontId="11" fillId="0" borderId="0" xfId="0" applyFont="1" applyBorder="1"/>
    <xf numFmtId="43" fontId="26" fillId="0" borderId="29" xfId="1" applyFont="1" applyBorder="1"/>
    <xf numFmtId="43" fontId="29" fillId="0" borderId="29" xfId="1" applyFont="1" applyBorder="1"/>
    <xf numFmtId="43" fontId="20" fillId="0" borderId="29" xfId="1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21" xfId="0" applyFont="1" applyBorder="1"/>
    <xf numFmtId="0" fontId="0" fillId="0" borderId="23" xfId="0" applyBorder="1" applyAlignme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3" fontId="20" fillId="0" borderId="0" xfId="0" applyNumberFormat="1" applyFont="1" applyBorder="1"/>
    <xf numFmtId="43" fontId="20" fillId="0" borderId="0" xfId="1" applyFont="1" applyBorder="1"/>
    <xf numFmtId="0" fontId="20" fillId="0" borderId="0" xfId="0" applyFont="1" applyBorder="1"/>
    <xf numFmtId="43" fontId="20" fillId="0" borderId="22" xfId="1" applyFont="1" applyBorder="1"/>
    <xf numFmtId="0" fontId="30" fillId="0" borderId="0" xfId="0" applyFont="1" applyBorder="1"/>
    <xf numFmtId="43" fontId="20" fillId="0" borderId="23" xfId="1" applyFont="1" applyBorder="1"/>
    <xf numFmtId="0" fontId="20" fillId="0" borderId="0" xfId="0" applyFont="1" applyFill="1" applyBorder="1"/>
    <xf numFmtId="43" fontId="20" fillId="0" borderId="0" xfId="1" applyFont="1" applyFill="1" applyBorder="1"/>
    <xf numFmtId="43" fontId="20" fillId="0" borderId="22" xfId="1" applyFont="1" applyFill="1" applyBorder="1"/>
    <xf numFmtId="0" fontId="31" fillId="0" borderId="0" xfId="0" applyFont="1"/>
    <xf numFmtId="0" fontId="31" fillId="0" borderId="0" xfId="0" applyFont="1" applyBorder="1"/>
    <xf numFmtId="43" fontId="20" fillId="0" borderId="24" xfId="1" applyFont="1" applyBorder="1"/>
    <xf numFmtId="0" fontId="29" fillId="0" borderId="0" xfId="0" applyFont="1" applyBorder="1"/>
    <xf numFmtId="43" fontId="26" fillId="0" borderId="17" xfId="1" applyFont="1" applyBorder="1"/>
    <xf numFmtId="43" fontId="26" fillId="0" borderId="0" xfId="1" applyFont="1" applyBorder="1"/>
    <xf numFmtId="43" fontId="26" fillId="0" borderId="18" xfId="1" applyFont="1" applyBorder="1"/>
    <xf numFmtId="43" fontId="26" fillId="0" borderId="22" xfId="1" applyFont="1" applyFill="1" applyBorder="1"/>
    <xf numFmtId="43" fontId="0" fillId="0" borderId="0" xfId="0" applyNumberFormat="1" applyFill="1"/>
    <xf numFmtId="43" fontId="28" fillId="0" borderId="0" xfId="1" applyFont="1" applyBorder="1"/>
    <xf numFmtId="43" fontId="28" fillId="0" borderId="22" xfId="1" applyFont="1" applyBorder="1"/>
    <xf numFmtId="43" fontId="30" fillId="0" borderId="0" xfId="1" applyFont="1" applyBorder="1"/>
    <xf numFmtId="43" fontId="30" fillId="0" borderId="23" xfId="1" applyFont="1" applyBorder="1"/>
    <xf numFmtId="43" fontId="20" fillId="0" borderId="0" xfId="1" applyFont="1"/>
    <xf numFmtId="43" fontId="0" fillId="0" borderId="0" xfId="1" applyFont="1"/>
    <xf numFmtId="43" fontId="20" fillId="0" borderId="0" xfId="1" applyFont="1" applyFill="1"/>
    <xf numFmtId="0" fontId="0" fillId="0" borderId="21" xfId="0" applyFill="1" applyBorder="1"/>
    <xf numFmtId="43" fontId="20" fillId="0" borderId="23" xfId="1" applyFont="1" applyFill="1" applyBorder="1"/>
    <xf numFmtId="43" fontId="20" fillId="0" borderId="24" xfId="1" applyFont="1" applyFill="1" applyBorder="1"/>
    <xf numFmtId="43" fontId="26" fillId="0" borderId="0" xfId="1" applyFont="1" applyFill="1" applyBorder="1"/>
    <xf numFmtId="43" fontId="26" fillId="0" borderId="22" xfId="1" applyFont="1" applyBorder="1"/>
    <xf numFmtId="0" fontId="30" fillId="0" borderId="0" xfId="0" applyFont="1"/>
    <xf numFmtId="0" fontId="0" fillId="2" borderId="0" xfId="0" applyFill="1"/>
    <xf numFmtId="43" fontId="20" fillId="2" borderId="0" xfId="0" applyNumberFormat="1" applyFont="1" applyFill="1"/>
    <xf numFmtId="43" fontId="0" fillId="2" borderId="0" xfId="0" applyNumberFormat="1" applyFill="1"/>
    <xf numFmtId="0" fontId="20" fillId="2" borderId="0" xfId="0" applyFont="1" applyFill="1"/>
    <xf numFmtId="4" fontId="20" fillId="0" borderId="0" xfId="0" applyNumberFormat="1" applyFont="1"/>
    <xf numFmtId="4" fontId="6" fillId="0" borderId="1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3"/>
  <sheetViews>
    <sheetView view="pageBreakPreview" topLeftCell="A9" zoomScaleSheetLayoutView="100" workbookViewId="0">
      <selection activeCell="A10" sqref="A10:AB10"/>
    </sheetView>
  </sheetViews>
  <sheetFormatPr defaultRowHeight="15"/>
  <cols>
    <col min="1" max="1" width="54.140625" customWidth="1"/>
    <col min="3" max="3" width="14.42578125" customWidth="1"/>
    <col min="4" max="4" width="17.42578125" customWidth="1"/>
    <col min="6" max="6" width="12.42578125" customWidth="1"/>
    <col min="7" max="7" width="12" customWidth="1"/>
    <col min="8" max="8" width="15.42578125" customWidth="1"/>
    <col min="10" max="10" width="14.42578125" customWidth="1"/>
    <col min="11" max="11" width="13.7109375" customWidth="1"/>
    <col min="17" max="17" width="14.42578125" customWidth="1"/>
    <col min="18" max="18" width="15.5703125" customWidth="1"/>
    <col min="24" max="24" width="10.28515625" customWidth="1"/>
    <col min="26" max="26" width="13.140625" customWidth="1"/>
    <col min="27" max="27" width="12.42578125" customWidth="1"/>
    <col min="28" max="28" width="13.85546875" customWidth="1"/>
  </cols>
  <sheetData>
    <row r="1" spans="1:29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9" ht="1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9" ht="15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9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9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  <c r="AC5" s="4"/>
    </row>
    <row r="6" spans="1:29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  <c r="AC6" s="4"/>
    </row>
    <row r="7" spans="1:29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  <c r="AC7" s="4"/>
    </row>
    <row r="8" spans="1:29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  <c r="AC8" s="4"/>
    </row>
    <row r="9" spans="1:29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  <c r="AC9" s="4"/>
    </row>
    <row r="10" spans="1:29" ht="18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 t="s">
        <v>24</v>
      </c>
      <c r="G10" s="1">
        <v>7</v>
      </c>
      <c r="H10" s="1">
        <v>8</v>
      </c>
      <c r="I10" s="1">
        <v>9</v>
      </c>
      <c r="J10" s="1">
        <v>10</v>
      </c>
      <c r="K10" s="1" t="s">
        <v>25</v>
      </c>
      <c r="L10" s="1">
        <v>12</v>
      </c>
      <c r="M10" s="1">
        <v>13</v>
      </c>
      <c r="N10" s="1">
        <v>14</v>
      </c>
      <c r="O10" s="1">
        <v>15</v>
      </c>
      <c r="P10" s="1" t="s">
        <v>26</v>
      </c>
      <c r="Q10" s="1" t="s">
        <v>27</v>
      </c>
      <c r="R10" s="1" t="s">
        <v>28</v>
      </c>
      <c r="S10" s="1">
        <v>19</v>
      </c>
      <c r="T10" s="1">
        <v>20</v>
      </c>
      <c r="U10" s="1">
        <v>21</v>
      </c>
      <c r="V10" s="1" t="s">
        <v>29</v>
      </c>
      <c r="W10" s="1">
        <v>23</v>
      </c>
      <c r="X10" s="1">
        <v>24</v>
      </c>
      <c r="Y10" s="1">
        <v>25</v>
      </c>
      <c r="Z10" s="1">
        <v>26</v>
      </c>
      <c r="AA10" s="1" t="s">
        <v>30</v>
      </c>
      <c r="AB10" s="1">
        <v>28</v>
      </c>
      <c r="AC10" s="4"/>
    </row>
    <row r="11" spans="1:29" ht="15" customHeight="1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/>
      <c r="AC11" s="4"/>
    </row>
    <row r="12" spans="1:29" ht="15" customHeight="1">
      <c r="A12" s="9" t="s">
        <v>32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  <c r="AC12" s="4"/>
    </row>
    <row r="13" spans="1:29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  <c r="AC13" s="4"/>
    </row>
    <row r="14" spans="1:29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  <c r="AC14" s="4"/>
    </row>
    <row r="15" spans="1:29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  <c r="AC15" s="4"/>
    </row>
    <row r="16" spans="1:29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  <c r="AC16" s="4"/>
    </row>
    <row r="17" spans="1:29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  <c r="AC17" s="4"/>
    </row>
    <row r="18" spans="1:29" ht="15" customHeight="1">
      <c r="A18" s="6" t="s">
        <v>36</v>
      </c>
      <c r="B18" s="7"/>
      <c r="C18" s="7"/>
      <c r="D18" s="7"/>
      <c r="E18" s="7"/>
      <c r="F18" s="7"/>
      <c r="G18" s="7"/>
      <c r="H18" s="10">
        <v>46895.14</v>
      </c>
      <c r="I18" s="7"/>
      <c r="J18" s="10">
        <v>67769.63</v>
      </c>
      <c r="K18" s="10">
        <v>114664.77</v>
      </c>
      <c r="L18" s="7"/>
      <c r="M18" s="7"/>
      <c r="N18" s="7"/>
      <c r="O18" s="7"/>
      <c r="P18" s="7"/>
      <c r="Q18" s="10">
        <v>114664.77</v>
      </c>
      <c r="R18" s="10">
        <v>114664.77</v>
      </c>
      <c r="S18" s="7"/>
      <c r="T18" s="7"/>
      <c r="U18" s="7"/>
      <c r="V18" s="7"/>
      <c r="W18" s="7"/>
      <c r="X18" s="10">
        <v>46895.14</v>
      </c>
      <c r="Y18" s="7"/>
      <c r="Z18" s="10">
        <v>67769.63</v>
      </c>
      <c r="AA18" s="10">
        <v>114664.77</v>
      </c>
      <c r="AB18" s="8"/>
      <c r="AC18" s="4"/>
    </row>
    <row r="19" spans="1:29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  <c r="AC19" s="4"/>
    </row>
    <row r="20" spans="1:29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  <c r="AC20" s="4"/>
    </row>
    <row r="21" spans="1:29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  <c r="AC21" s="4"/>
    </row>
    <row r="22" spans="1:29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" customHeight="1">
      <c r="A27" s="6" t="s">
        <v>45</v>
      </c>
      <c r="B27" s="7"/>
      <c r="C27" s="7"/>
      <c r="D27" s="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" customHeight="1">
      <c r="A29" s="6" t="s">
        <v>47</v>
      </c>
      <c r="B29" s="7"/>
      <c r="C29" s="10">
        <v>114664.77</v>
      </c>
      <c r="D29" s="10">
        <v>114664.77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" customHeight="1">
      <c r="A34" s="8" t="s">
        <v>51</v>
      </c>
      <c r="B34" s="7"/>
      <c r="C34" s="10">
        <v>114664.77</v>
      </c>
      <c r="D34" s="10">
        <v>114664.77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11" t="s">
        <v>60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" customHeight="1">
      <c r="A36" s="6" t="s">
        <v>53</v>
      </c>
      <c r="B36" s="7"/>
      <c r="C36" s="7"/>
      <c r="D36" s="7"/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" customHeight="1">
      <c r="A37" s="6" t="s">
        <v>54</v>
      </c>
      <c r="B37" s="7"/>
      <c r="C37" s="10">
        <v>114664.77</v>
      </c>
      <c r="D37" s="10">
        <v>114664.77</v>
      </c>
      <c r="E37" s="4"/>
      <c r="F37" s="47" t="s">
        <v>61</v>
      </c>
      <c r="G37" s="47"/>
      <c r="H37" s="48" t="s">
        <v>62</v>
      </c>
      <c r="I37" s="48"/>
      <c r="J37" s="4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" customHeight="1">
      <c r="A38" s="8" t="s">
        <v>55</v>
      </c>
      <c r="B38" s="7"/>
      <c r="C38" s="7"/>
      <c r="D38" s="7"/>
      <c r="E38" s="4"/>
      <c r="F38" s="47" t="s">
        <v>63</v>
      </c>
      <c r="G38" s="47"/>
      <c r="H38" s="45" t="s">
        <v>64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" customHeight="1">
      <c r="A39" s="8" t="s">
        <v>56</v>
      </c>
      <c r="B39" s="7"/>
      <c r="C39" s="7"/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" customHeight="1">
      <c r="A40" s="8" t="s">
        <v>57</v>
      </c>
      <c r="B40" s="7"/>
      <c r="C40" s="10">
        <v>114664.77</v>
      </c>
      <c r="D40" s="10">
        <v>114664.77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" customHeight="1">
      <c r="A41" s="8" t="s">
        <v>58</v>
      </c>
      <c r="B41" s="7"/>
      <c r="C41" s="10">
        <v>-114664.77</v>
      </c>
      <c r="D41" s="10">
        <v>-114664.77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6.25">
      <c r="A42" s="12" t="s">
        <v>65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</sheetData>
  <mergeCells count="27">
    <mergeCell ref="H37:J37"/>
    <mergeCell ref="H36:I36"/>
    <mergeCell ref="H38:I38"/>
    <mergeCell ref="G8:K8"/>
    <mergeCell ref="A23:D23"/>
    <mergeCell ref="F35:G35"/>
    <mergeCell ref="F36:G36"/>
    <mergeCell ref="F37:G37"/>
    <mergeCell ref="F38:G38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L8:Q8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topLeftCell="A9" zoomScaleSheetLayoutView="100" workbookViewId="0">
      <selection activeCell="B45" sqref="B45"/>
    </sheetView>
  </sheetViews>
  <sheetFormatPr defaultRowHeight="15"/>
  <cols>
    <col min="1" max="1" width="47.28515625" customWidth="1"/>
    <col min="2" max="2" width="15.42578125" customWidth="1"/>
    <col min="3" max="3" width="14.28515625" customWidth="1"/>
    <col min="4" max="4" width="15.5703125" customWidth="1"/>
    <col min="6" max="6" width="12.42578125" customWidth="1"/>
    <col min="15" max="15" width="8.140625" customWidth="1"/>
    <col min="18" max="18" width="12.28515625" customWidth="1"/>
    <col min="19" max="19" width="7.85546875" customWidth="1"/>
    <col min="20" max="20" width="8.42578125" customWidth="1"/>
    <col min="21" max="21" width="7.5703125" customWidth="1"/>
    <col min="22" max="22" width="8" customWidth="1"/>
    <col min="24" max="24" width="12.5703125" customWidth="1"/>
    <col min="27" max="27" width="12" customWidth="1"/>
    <col min="28" max="28" width="10.140625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97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 ht="5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</row>
    <row r="6" spans="1:28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</row>
    <row r="7" spans="1:28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10">
        <v>3617605.44</v>
      </c>
      <c r="D11" s="7"/>
      <c r="E11" s="7"/>
      <c r="F11" s="10">
        <v>3617605.44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0">
        <v>3617605.44</v>
      </c>
      <c r="S11" s="7"/>
      <c r="T11" s="7"/>
      <c r="U11" s="7"/>
      <c r="V11" s="7"/>
      <c r="W11" s="7"/>
      <c r="X11" s="10">
        <v>3617605.44</v>
      </c>
      <c r="Y11" s="7"/>
      <c r="Z11" s="7"/>
      <c r="AA11" s="10">
        <v>3617605.44</v>
      </c>
      <c r="AB11" s="8"/>
    </row>
    <row r="12" spans="1:28" ht="15" customHeight="1">
      <c r="A12" s="9" t="s">
        <v>32</v>
      </c>
      <c r="B12" s="7"/>
      <c r="C12" s="10">
        <v>3617605.44</v>
      </c>
      <c r="D12" s="7"/>
      <c r="E12" s="7"/>
      <c r="F12" s="10">
        <v>3617605.44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0">
        <v>3617605.44</v>
      </c>
      <c r="S12" s="7"/>
      <c r="T12" s="7"/>
      <c r="U12" s="7"/>
      <c r="V12" s="7"/>
      <c r="W12" s="7"/>
      <c r="X12" s="10">
        <v>3617605.44</v>
      </c>
      <c r="Y12" s="7"/>
      <c r="Z12" s="7"/>
      <c r="AA12" s="10">
        <v>3617605.44</v>
      </c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89317.05</v>
      </c>
      <c r="D18" s="7"/>
      <c r="E18" s="7"/>
      <c r="F18" s="10">
        <v>89317.05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0">
        <v>89317.05</v>
      </c>
      <c r="S18" s="7"/>
      <c r="T18" s="7"/>
      <c r="U18" s="7"/>
      <c r="V18" s="7"/>
      <c r="W18" s="7"/>
      <c r="X18" s="10">
        <v>89317.05</v>
      </c>
      <c r="Y18" s="7"/>
      <c r="Z18" s="7"/>
      <c r="AA18" s="10">
        <v>89317.05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9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31.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7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107949811.79000001</v>
      </c>
      <c r="C27" s="10">
        <v>55944214</v>
      </c>
      <c r="D27" s="10">
        <v>163894025.78999999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2692825.1</v>
      </c>
      <c r="C29" s="10">
        <v>89317.05</v>
      </c>
      <c r="D29" s="10">
        <v>2782142.15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16" t="s">
        <v>51</v>
      </c>
      <c r="B34" s="17">
        <v>110642636.89</v>
      </c>
      <c r="C34" s="17">
        <v>56033531.049999997</v>
      </c>
      <c r="D34" s="17">
        <v>166676167.94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10">
        <v>29007822.030000001</v>
      </c>
      <c r="C36" s="7"/>
      <c r="D36" s="10">
        <v>29007822.030000001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109</v>
      </c>
      <c r="B37" s="10">
        <v>54019164.969999999</v>
      </c>
      <c r="C37" s="10">
        <v>3706922.49</v>
      </c>
      <c r="D37" s="10">
        <v>57726087.460000001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customHeight="1">
      <c r="A38" s="16" t="s">
        <v>55</v>
      </c>
      <c r="B38" s="17">
        <v>27615649.890000001</v>
      </c>
      <c r="C38" s="17">
        <v>52326608.560000002</v>
      </c>
      <c r="D38" s="17">
        <v>79942258.450000003</v>
      </c>
      <c r="E38" s="4"/>
      <c r="F38" s="47" t="s">
        <v>98</v>
      </c>
      <c r="G38" s="47"/>
      <c r="H38" s="45" t="s">
        <v>98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7" customHeight="1">
      <c r="A39" s="16" t="s">
        <v>56</v>
      </c>
      <c r="B39" s="17">
        <v>103508176.31</v>
      </c>
      <c r="C39" s="17">
        <v>58189025</v>
      </c>
      <c r="D39" s="17">
        <v>161697201.31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54019164.969999999</v>
      </c>
      <c r="C40" s="10">
        <v>3706922.49</v>
      </c>
      <c r="D40" s="10">
        <v>57726087.460000001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16" t="s">
        <v>58</v>
      </c>
      <c r="B41" s="17">
        <v>49489011.340000004</v>
      </c>
      <c r="C41" s="17">
        <v>54482102.509999998</v>
      </c>
      <c r="D41" s="17">
        <v>103971113.84999999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2.5">
      <c r="A42" s="24" t="s">
        <v>99</v>
      </c>
      <c r="B42" s="25"/>
      <c r="C42" s="25"/>
      <c r="D42" s="25"/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zoomScale="89" zoomScaleSheetLayoutView="89" workbookViewId="0">
      <selection activeCell="F10" sqref="F10"/>
    </sheetView>
  </sheetViews>
  <sheetFormatPr defaultRowHeight="15"/>
  <cols>
    <col min="1" max="1" width="55.7109375" customWidth="1"/>
    <col min="2" max="2" width="15.42578125" customWidth="1"/>
    <col min="3" max="3" width="14.5703125" customWidth="1"/>
    <col min="4" max="4" width="15.85546875" customWidth="1"/>
    <col min="6" max="6" width="12.85546875" customWidth="1"/>
    <col min="8" max="8" width="13.42578125" customWidth="1"/>
    <col min="10" max="10" width="10.42578125" customWidth="1"/>
    <col min="11" max="11" width="12.5703125" customWidth="1"/>
    <col min="12" max="12" width="13" customWidth="1"/>
    <col min="14" max="14" width="9.85546875" bestFit="1" customWidth="1"/>
    <col min="17" max="17" width="12.42578125" customWidth="1"/>
    <col min="18" max="18" width="13.42578125" customWidth="1"/>
    <col min="24" max="24" width="13.42578125" customWidth="1"/>
    <col min="27" max="27" width="12.7109375" bestFit="1" customWidth="1"/>
    <col min="28" max="28" width="11.7109375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100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</row>
    <row r="6" spans="1:28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</row>
    <row r="7" spans="1:28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10">
        <v>2095279.53</v>
      </c>
      <c r="D11" s="7"/>
      <c r="E11" s="7"/>
      <c r="F11" s="10">
        <v>2095279.53</v>
      </c>
      <c r="G11" s="7"/>
      <c r="H11" s="10">
        <v>7857352.5</v>
      </c>
      <c r="I11" s="7"/>
      <c r="J11" s="7"/>
      <c r="K11" s="10">
        <v>7857352.5</v>
      </c>
      <c r="L11" s="7"/>
      <c r="M11" s="7"/>
      <c r="N11" s="7"/>
      <c r="O11" s="7"/>
      <c r="P11" s="7"/>
      <c r="Q11" s="10">
        <v>7857352.5</v>
      </c>
      <c r="R11" s="10">
        <v>9952632.0299999993</v>
      </c>
      <c r="S11" s="7"/>
      <c r="T11" s="7"/>
      <c r="U11" s="7"/>
      <c r="V11" s="7"/>
      <c r="W11" s="7"/>
      <c r="X11" s="10">
        <v>9952632.0299999993</v>
      </c>
      <c r="Y11" s="7"/>
      <c r="Z11" s="7"/>
      <c r="AA11" s="10">
        <v>9952632.0299999993</v>
      </c>
      <c r="AB11" s="8"/>
    </row>
    <row r="12" spans="1:28" ht="15" customHeight="1">
      <c r="A12" s="9" t="s">
        <v>32</v>
      </c>
      <c r="B12" s="7"/>
      <c r="C12" s="10">
        <v>2095279.53</v>
      </c>
      <c r="D12" s="7"/>
      <c r="E12" s="7"/>
      <c r="F12" s="10">
        <v>2095279.53</v>
      </c>
      <c r="G12" s="7"/>
      <c r="H12" s="10">
        <v>7857352.5</v>
      </c>
      <c r="I12" s="7"/>
      <c r="J12" s="7"/>
      <c r="K12" s="10">
        <v>7857352.5</v>
      </c>
      <c r="L12" s="7"/>
      <c r="M12" s="7"/>
      <c r="N12" s="7"/>
      <c r="O12" s="7"/>
      <c r="P12" s="7"/>
      <c r="Q12" s="10">
        <v>7857352.5</v>
      </c>
      <c r="R12" s="10">
        <v>9952632.0299999993</v>
      </c>
      <c r="S12" s="7"/>
      <c r="T12" s="7"/>
      <c r="U12" s="7"/>
      <c r="V12" s="7"/>
      <c r="W12" s="7"/>
      <c r="X12" s="10">
        <v>9952632.0299999993</v>
      </c>
      <c r="Y12" s="7"/>
      <c r="Z12" s="7"/>
      <c r="AA12" s="10">
        <v>9952632.0299999993</v>
      </c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110649.82</v>
      </c>
      <c r="D18" s="7"/>
      <c r="E18" s="7"/>
      <c r="F18" s="10">
        <v>110649.82</v>
      </c>
      <c r="G18" s="7"/>
      <c r="H18" s="10">
        <v>932473.9</v>
      </c>
      <c r="I18" s="7"/>
      <c r="J18" s="7"/>
      <c r="K18" s="10">
        <v>932473.9</v>
      </c>
      <c r="L18" s="7"/>
      <c r="M18" s="7"/>
      <c r="N18" s="7"/>
      <c r="O18" s="7"/>
      <c r="P18" s="7"/>
      <c r="Q18" s="10">
        <v>932473.9</v>
      </c>
      <c r="R18" s="10">
        <v>1043123.72</v>
      </c>
      <c r="S18" s="7"/>
      <c r="T18" s="7"/>
      <c r="U18" s="7"/>
      <c r="V18" s="7"/>
      <c r="W18" s="7"/>
      <c r="X18" s="10">
        <v>1043123.72</v>
      </c>
      <c r="Y18" s="7"/>
      <c r="Z18" s="7"/>
      <c r="AA18" s="10">
        <v>1043123.72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33" customHeight="1">
      <c r="A24" s="5" t="s">
        <v>9</v>
      </c>
      <c r="B24" s="5" t="s">
        <v>41</v>
      </c>
      <c r="C24" s="5" t="s">
        <v>42</v>
      </c>
      <c r="D24" s="5" t="s">
        <v>111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163894025.78999999</v>
      </c>
      <c r="C27" s="10">
        <v>67468088</v>
      </c>
      <c r="D27" s="10">
        <v>231362113.78999999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2782142.15</v>
      </c>
      <c r="C29" s="10">
        <v>1043123.72</v>
      </c>
      <c r="D29" s="10">
        <v>3825265.87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16" t="s">
        <v>51</v>
      </c>
      <c r="B34" s="17">
        <v>166676167.94</v>
      </c>
      <c r="C34" s="17">
        <v>68511211.719999999</v>
      </c>
      <c r="D34" s="17">
        <v>235187379.66</v>
      </c>
      <c r="E34" s="4"/>
      <c r="F34" s="4"/>
      <c r="G34" s="4"/>
      <c r="H34" s="4"/>
      <c r="I34" s="4"/>
      <c r="J34" s="4"/>
      <c r="K34" s="4"/>
      <c r="L34" s="20"/>
      <c r="M34" s="22"/>
      <c r="N34" s="2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19"/>
      <c r="M35" s="22"/>
      <c r="N35" s="2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10">
        <v>29007822.030000001</v>
      </c>
      <c r="C36" s="7"/>
      <c r="D36" s="10">
        <v>29007822.030000001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20"/>
      <c r="M36" s="22"/>
      <c r="N36" s="22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110</v>
      </c>
      <c r="B37" s="10">
        <v>57318548.159999996</v>
      </c>
      <c r="C37" s="10">
        <v>10995755.75</v>
      </c>
      <c r="D37" s="10">
        <v>68314303.909999996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20"/>
      <c r="M37" s="22"/>
      <c r="N37" s="2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16" t="s">
        <v>55</v>
      </c>
      <c r="B38" s="17">
        <v>80349797.75</v>
      </c>
      <c r="C38" s="17">
        <v>57515455.969999999</v>
      </c>
      <c r="D38" s="17">
        <v>137865253.72</v>
      </c>
      <c r="E38" s="4"/>
      <c r="F38" s="47" t="s">
        <v>101</v>
      </c>
      <c r="G38" s="47"/>
      <c r="H38" s="45" t="s">
        <v>101</v>
      </c>
      <c r="I38" s="45"/>
      <c r="J38" s="4"/>
      <c r="K38" s="4"/>
      <c r="L38" s="20"/>
      <c r="M38" s="22"/>
      <c r="N38" s="2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3.25" customHeight="1">
      <c r="A39" s="16" t="s">
        <v>190</v>
      </c>
      <c r="B39" s="17">
        <v>161227816.25999999</v>
      </c>
      <c r="C39" s="17">
        <v>54562469.259999998</v>
      </c>
      <c r="D39" s="157">
        <v>215790285.53</v>
      </c>
      <c r="E39" s="4"/>
      <c r="F39" s="4"/>
      <c r="G39" s="4"/>
      <c r="H39" s="4"/>
      <c r="I39" s="4"/>
      <c r="J39" s="4"/>
      <c r="K39" s="156"/>
      <c r="L39" s="20"/>
      <c r="M39" s="22"/>
      <c r="N39" s="2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57318548.159999996</v>
      </c>
      <c r="C40" s="10">
        <v>10995755.75</v>
      </c>
      <c r="D40" s="10">
        <v>68314303.909999996</v>
      </c>
      <c r="E40" s="4"/>
      <c r="F40" s="4"/>
      <c r="G40" s="4"/>
      <c r="H40" s="4"/>
      <c r="I40" s="4"/>
      <c r="J40" s="4"/>
      <c r="K40" s="4"/>
      <c r="L40" s="20"/>
      <c r="M40" s="22"/>
      <c r="N40" s="2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16" t="s">
        <v>58</v>
      </c>
      <c r="B41" s="17">
        <v>103909268.09999999</v>
      </c>
      <c r="C41" s="17">
        <v>43566713.509999998</v>
      </c>
      <c r="D41" s="17">
        <v>147475981.62</v>
      </c>
      <c r="E41" s="4"/>
      <c r="F41" s="4"/>
      <c r="G41" s="4"/>
      <c r="H41" s="4"/>
      <c r="I41" s="4"/>
      <c r="J41" s="4"/>
      <c r="K41" s="4"/>
      <c r="L41" s="20"/>
      <c r="M41" s="22"/>
      <c r="N41" s="2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3.25">
      <c r="A42" s="3" t="s">
        <v>102</v>
      </c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202"/>
  <sheetViews>
    <sheetView tabSelected="1" workbookViewId="0"/>
  </sheetViews>
  <sheetFormatPr defaultRowHeight="15"/>
  <cols>
    <col min="1" max="1" width="1.28515625" customWidth="1"/>
    <col min="2" max="2" width="5.140625" customWidth="1"/>
    <col min="3" max="3" width="32.85546875" customWidth="1"/>
    <col min="4" max="4" width="1.28515625" customWidth="1"/>
    <col min="5" max="5" width="7.7109375" customWidth="1"/>
    <col min="6" max="6" width="12.5703125" customWidth="1"/>
    <col min="7" max="7" width="12.85546875" customWidth="1"/>
    <col min="8" max="8" width="10.7109375" customWidth="1"/>
    <col min="9" max="9" width="11.7109375" customWidth="1"/>
    <col min="10" max="10" width="15" customWidth="1"/>
    <col min="11" max="11" width="11.28515625" customWidth="1"/>
    <col min="12" max="12" width="12.7109375" customWidth="1"/>
    <col min="13" max="13" width="17.140625" customWidth="1"/>
    <col min="14" max="14" width="11.7109375" customWidth="1"/>
    <col min="15" max="15" width="13.28515625" customWidth="1"/>
    <col min="16" max="16" width="13.42578125" customWidth="1"/>
    <col min="17" max="17" width="12.5703125" customWidth="1"/>
    <col min="18" max="18" width="17.140625" customWidth="1"/>
    <col min="19" max="20" width="10.42578125" customWidth="1"/>
    <col min="21" max="21" width="12" customWidth="1"/>
    <col min="22" max="22" width="12.140625" customWidth="1"/>
    <col min="23" max="23" width="11.7109375" customWidth="1"/>
    <col min="24" max="24" width="10.5703125" customWidth="1"/>
    <col min="25" max="26" width="11.140625" customWidth="1"/>
    <col min="27" max="28" width="12" customWidth="1"/>
    <col min="29" max="29" width="11.28515625" customWidth="1"/>
    <col min="30" max="30" width="13.42578125" customWidth="1"/>
    <col min="31" max="31" width="12" customWidth="1"/>
    <col min="32" max="32" width="8.5703125" customWidth="1"/>
    <col min="33" max="33" width="14.28515625" bestFit="1" customWidth="1"/>
    <col min="34" max="34" width="14.85546875" bestFit="1" customWidth="1"/>
  </cols>
  <sheetData>
    <row r="1" spans="1:34" ht="9.75" customHeight="1">
      <c r="AF1" s="58" t="s">
        <v>0</v>
      </c>
    </row>
    <row r="2" spans="1:34" ht="18.75">
      <c r="A2" s="59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>
        <f ca="1">+NOW()</f>
        <v>43131.640030671297</v>
      </c>
      <c r="AF2" s="61"/>
    </row>
    <row r="3" spans="1:34" ht="15.75">
      <c r="A3" s="62" t="s">
        <v>113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4" ht="6.75" customHeight="1">
      <c r="H4" s="63"/>
      <c r="I4" s="63"/>
      <c r="J4" s="63"/>
      <c r="K4" s="63"/>
    </row>
    <row r="5" spans="1:34">
      <c r="A5" t="s">
        <v>114</v>
      </c>
      <c r="D5" t="s">
        <v>115</v>
      </c>
      <c r="E5" s="25" t="s">
        <v>116</v>
      </c>
    </row>
    <row r="6" spans="1:34">
      <c r="A6" t="s">
        <v>117</v>
      </c>
      <c r="D6" t="s">
        <v>115</v>
      </c>
      <c r="E6" t="s">
        <v>118</v>
      </c>
    </row>
    <row r="7" spans="1:34" ht="13.5" customHeight="1">
      <c r="A7" t="s">
        <v>119</v>
      </c>
      <c r="D7" t="s">
        <v>115</v>
      </c>
    </row>
    <row r="8" spans="1:34">
      <c r="A8" t="s">
        <v>120</v>
      </c>
      <c r="D8" t="s">
        <v>115</v>
      </c>
      <c r="E8" s="64" t="s">
        <v>121</v>
      </c>
    </row>
    <row r="9" spans="1:34" ht="15.75">
      <c r="A9" t="s">
        <v>122</v>
      </c>
      <c r="D9" t="s">
        <v>115</v>
      </c>
      <c r="E9" s="65"/>
      <c r="V9" s="66"/>
    </row>
    <row r="10" spans="1:34" ht="4.5" customHeight="1"/>
    <row r="11" spans="1:34" ht="3.75" customHeight="1"/>
    <row r="12" spans="1:34">
      <c r="A12" s="67"/>
      <c r="B12" s="68"/>
      <c r="C12" s="68"/>
      <c r="D12" s="68"/>
      <c r="E12" s="69"/>
      <c r="F12" s="70" t="s">
        <v>10</v>
      </c>
      <c r="G12" s="70"/>
      <c r="H12" s="70"/>
      <c r="I12" s="70"/>
      <c r="J12" s="71"/>
      <c r="K12" s="72" t="s">
        <v>11</v>
      </c>
      <c r="L12" s="70"/>
      <c r="M12" s="70"/>
      <c r="N12" s="70"/>
      <c r="O12" s="70"/>
      <c r="P12" s="70"/>
      <c r="Q12" s="70"/>
      <c r="R12" s="70"/>
      <c r="S12" s="70"/>
      <c r="T12" s="70"/>
      <c r="U12" s="71"/>
      <c r="V12" s="73"/>
      <c r="W12" s="70" t="s">
        <v>123</v>
      </c>
      <c r="X12" s="70"/>
      <c r="Y12" s="70"/>
      <c r="Z12" s="71"/>
      <c r="AA12" s="72" t="s">
        <v>14</v>
      </c>
      <c r="AB12" s="70"/>
      <c r="AC12" s="70"/>
      <c r="AD12" s="70"/>
      <c r="AE12" s="71"/>
      <c r="AF12" s="73"/>
    </row>
    <row r="13" spans="1:34">
      <c r="A13" s="74" t="s">
        <v>9</v>
      </c>
      <c r="B13" s="75"/>
      <c r="C13" s="75"/>
      <c r="D13" s="75"/>
      <c r="E13" s="76"/>
      <c r="F13" s="73"/>
      <c r="G13" s="73"/>
      <c r="H13" s="73"/>
      <c r="I13" s="73"/>
      <c r="J13" s="73"/>
      <c r="K13" s="77" t="s">
        <v>16</v>
      </c>
      <c r="L13" s="77"/>
      <c r="M13" s="77"/>
      <c r="N13" s="77"/>
      <c r="O13" s="78"/>
      <c r="P13" s="79" t="s">
        <v>124</v>
      </c>
      <c r="Q13" s="77"/>
      <c r="R13" s="77"/>
      <c r="S13" s="77"/>
      <c r="T13" s="78"/>
      <c r="U13" s="73"/>
      <c r="V13" s="80" t="s">
        <v>125</v>
      </c>
      <c r="W13" s="73"/>
      <c r="X13" s="73"/>
      <c r="Y13" s="73"/>
      <c r="Z13" s="73"/>
      <c r="AA13" s="73"/>
      <c r="AB13" s="73"/>
      <c r="AC13" s="73"/>
      <c r="AD13" s="73"/>
      <c r="AE13" s="73"/>
      <c r="AF13" s="80" t="s">
        <v>126</v>
      </c>
    </row>
    <row r="14" spans="1:34">
      <c r="A14" s="81"/>
      <c r="B14" s="82"/>
      <c r="C14" s="82"/>
      <c r="D14" s="82"/>
      <c r="E14" s="83"/>
      <c r="F14" s="84" t="s">
        <v>18</v>
      </c>
      <c r="G14" s="80" t="s">
        <v>19</v>
      </c>
      <c r="H14" s="80" t="s">
        <v>127</v>
      </c>
      <c r="I14" s="80" t="s">
        <v>21</v>
      </c>
      <c r="J14" s="80" t="s">
        <v>128</v>
      </c>
      <c r="K14" s="85" t="s">
        <v>18</v>
      </c>
      <c r="L14" s="86" t="s">
        <v>19</v>
      </c>
      <c r="M14" s="85" t="s">
        <v>127</v>
      </c>
      <c r="N14" s="85" t="s">
        <v>21</v>
      </c>
      <c r="O14" s="85" t="s">
        <v>23</v>
      </c>
      <c r="P14" s="85" t="s">
        <v>18</v>
      </c>
      <c r="Q14" s="85" t="s">
        <v>19</v>
      </c>
      <c r="R14" s="85" t="s">
        <v>127</v>
      </c>
      <c r="S14" s="85" t="s">
        <v>21</v>
      </c>
      <c r="T14" s="85" t="s">
        <v>23</v>
      </c>
      <c r="U14" s="80" t="s">
        <v>22</v>
      </c>
      <c r="V14" s="80" t="s">
        <v>22</v>
      </c>
      <c r="W14" s="80" t="s">
        <v>18</v>
      </c>
      <c r="X14" s="80" t="s">
        <v>19</v>
      </c>
      <c r="Y14" s="80" t="s">
        <v>21</v>
      </c>
      <c r="Z14" s="80" t="s">
        <v>22</v>
      </c>
      <c r="AA14" s="80" t="s">
        <v>18</v>
      </c>
      <c r="AB14" s="80" t="s">
        <v>19</v>
      </c>
      <c r="AC14" s="80" t="s">
        <v>127</v>
      </c>
      <c r="AD14" s="80" t="s">
        <v>21</v>
      </c>
      <c r="AE14" s="80" t="s">
        <v>22</v>
      </c>
      <c r="AF14" s="87"/>
    </row>
    <row r="15" spans="1:34" ht="12.75" customHeight="1">
      <c r="A15" s="88">
        <v>1</v>
      </c>
      <c r="B15" s="89"/>
      <c r="C15" s="89"/>
      <c r="D15" s="89"/>
      <c r="E15" s="90"/>
      <c r="F15" s="91">
        <v>2</v>
      </c>
      <c r="G15" s="91">
        <v>3</v>
      </c>
      <c r="H15" s="91">
        <v>4</v>
      </c>
      <c r="I15" s="91">
        <v>5</v>
      </c>
      <c r="J15" s="91" t="s">
        <v>129</v>
      </c>
      <c r="K15" s="91">
        <v>7</v>
      </c>
      <c r="L15" s="91">
        <v>8</v>
      </c>
      <c r="M15" s="91">
        <v>9</v>
      </c>
      <c r="N15" s="91">
        <v>10</v>
      </c>
      <c r="O15" s="91" t="s">
        <v>130</v>
      </c>
      <c r="P15" s="91">
        <v>12</v>
      </c>
      <c r="Q15" s="91">
        <v>13</v>
      </c>
      <c r="R15" s="91">
        <v>14</v>
      </c>
      <c r="S15" s="91">
        <v>15</v>
      </c>
      <c r="T15" s="91" t="s">
        <v>26</v>
      </c>
      <c r="U15" s="91" t="s">
        <v>27</v>
      </c>
      <c r="V15" s="91" t="s">
        <v>28</v>
      </c>
      <c r="W15" s="91">
        <v>19</v>
      </c>
      <c r="X15" s="91">
        <v>20</v>
      </c>
      <c r="Y15" s="91">
        <v>21</v>
      </c>
      <c r="Z15" s="91" t="s">
        <v>29</v>
      </c>
      <c r="AA15" s="91">
        <v>23</v>
      </c>
      <c r="AB15" s="91">
        <v>24</v>
      </c>
      <c r="AC15" s="91">
        <v>25</v>
      </c>
      <c r="AD15" s="91">
        <v>26</v>
      </c>
      <c r="AE15" s="91" t="s">
        <v>30</v>
      </c>
      <c r="AF15" s="91">
        <v>28</v>
      </c>
      <c r="AH15" s="92"/>
    </row>
    <row r="16" spans="1:34" ht="7.5" customHeight="1">
      <c r="A16" s="67"/>
      <c r="B16" s="68"/>
      <c r="C16" s="68"/>
      <c r="D16" s="68"/>
      <c r="E16" s="69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</row>
    <row r="17" spans="1:34">
      <c r="A17" s="94"/>
      <c r="B17" s="21" t="s">
        <v>31</v>
      </c>
      <c r="C17" s="21"/>
      <c r="D17" s="21"/>
      <c r="E17" s="95"/>
      <c r="F17" s="96">
        <f>+F19+F27</f>
        <v>0</v>
      </c>
      <c r="G17" s="96">
        <f>+G19+G27</f>
        <v>39533119.899999999</v>
      </c>
      <c r="H17" s="96">
        <f t="shared" ref="H17:AD17" si="0">+H19+H27</f>
        <v>0</v>
      </c>
      <c r="I17" s="96">
        <f t="shared" si="0"/>
        <v>0</v>
      </c>
      <c r="J17" s="96">
        <f>+J19+J27</f>
        <v>39533119.899999999</v>
      </c>
      <c r="K17" s="96">
        <f t="shared" si="0"/>
        <v>0</v>
      </c>
      <c r="L17" s="96">
        <f t="shared" si="0"/>
        <v>0</v>
      </c>
      <c r="M17" s="96">
        <f t="shared" si="0"/>
        <v>0</v>
      </c>
      <c r="N17" s="96">
        <f t="shared" si="0"/>
        <v>0</v>
      </c>
      <c r="O17" s="96">
        <f>+O19+O27</f>
        <v>0</v>
      </c>
      <c r="P17" s="96">
        <f t="shared" si="0"/>
        <v>0</v>
      </c>
      <c r="Q17" s="96">
        <f t="shared" si="0"/>
        <v>0</v>
      </c>
      <c r="R17" s="96">
        <f t="shared" si="0"/>
        <v>0</v>
      </c>
      <c r="S17" s="96">
        <f t="shared" si="0"/>
        <v>0</v>
      </c>
      <c r="T17" s="96">
        <f>+T19+T27</f>
        <v>0</v>
      </c>
      <c r="U17" s="96">
        <f>+U19+U27</f>
        <v>0</v>
      </c>
      <c r="V17" s="96">
        <f>+V19+V27</f>
        <v>39531994.899999999</v>
      </c>
      <c r="W17" s="96">
        <f t="shared" si="0"/>
        <v>0</v>
      </c>
      <c r="X17" s="96">
        <f t="shared" si="0"/>
        <v>0</v>
      </c>
      <c r="Y17" s="96">
        <f t="shared" si="0"/>
        <v>0</v>
      </c>
      <c r="Z17" s="96">
        <f t="shared" si="0"/>
        <v>0</v>
      </c>
      <c r="AA17" s="96">
        <f t="shared" si="0"/>
        <v>0</v>
      </c>
      <c r="AB17" s="96">
        <f>+AB19+AB27</f>
        <v>39533119.899999999</v>
      </c>
      <c r="AC17" s="96">
        <f t="shared" si="0"/>
        <v>0</v>
      </c>
      <c r="AD17" s="96">
        <f t="shared" si="0"/>
        <v>0</v>
      </c>
      <c r="AE17" s="96">
        <f>+AE19+AE27</f>
        <v>39533119.899999999</v>
      </c>
      <c r="AF17" s="97"/>
      <c r="AH17" s="98"/>
    </row>
    <row r="18" spans="1:34" ht="5.25" customHeight="1">
      <c r="A18" s="94"/>
      <c r="B18" s="21"/>
      <c r="C18" s="21"/>
      <c r="D18" s="21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H18" s="98"/>
    </row>
    <row r="19" spans="1:34">
      <c r="A19" s="94"/>
      <c r="B19" s="21"/>
      <c r="C19" s="21" t="s">
        <v>32</v>
      </c>
      <c r="D19" s="21"/>
      <c r="E19" s="95"/>
      <c r="F19" s="99">
        <f t="shared" ref="F19:AD19" si="1">SUM(F20:F25)</f>
        <v>0</v>
      </c>
      <c r="G19" s="99">
        <f>SUM(G20:G25)</f>
        <v>39531994.899999999</v>
      </c>
      <c r="H19" s="99">
        <f t="shared" si="1"/>
        <v>0</v>
      </c>
      <c r="I19" s="99">
        <f t="shared" si="1"/>
        <v>0</v>
      </c>
      <c r="J19" s="99">
        <f>SUM(J20:J25)</f>
        <v>39531994.899999999</v>
      </c>
      <c r="K19" s="99">
        <f t="shared" si="1"/>
        <v>0</v>
      </c>
      <c r="L19" s="99">
        <f t="shared" si="1"/>
        <v>0</v>
      </c>
      <c r="M19" s="99">
        <f t="shared" si="1"/>
        <v>0</v>
      </c>
      <c r="N19" s="99">
        <f t="shared" si="1"/>
        <v>0</v>
      </c>
      <c r="O19" s="99">
        <f t="shared" si="1"/>
        <v>0</v>
      </c>
      <c r="P19" s="99">
        <f t="shared" si="1"/>
        <v>0</v>
      </c>
      <c r="Q19" s="99">
        <f t="shared" si="1"/>
        <v>0</v>
      </c>
      <c r="R19" s="99">
        <f t="shared" si="1"/>
        <v>0</v>
      </c>
      <c r="S19" s="99">
        <f t="shared" si="1"/>
        <v>0</v>
      </c>
      <c r="T19" s="99">
        <f t="shared" si="1"/>
        <v>0</v>
      </c>
      <c r="U19" s="99">
        <f t="shared" si="1"/>
        <v>0</v>
      </c>
      <c r="V19" s="99">
        <f t="shared" si="1"/>
        <v>39531994.899999999</v>
      </c>
      <c r="W19" s="99">
        <f t="shared" si="1"/>
        <v>0</v>
      </c>
      <c r="X19" s="99">
        <f t="shared" si="1"/>
        <v>0</v>
      </c>
      <c r="Y19" s="99">
        <f t="shared" si="1"/>
        <v>0</v>
      </c>
      <c r="Z19" s="99">
        <f t="shared" si="1"/>
        <v>0</v>
      </c>
      <c r="AA19" s="99">
        <f t="shared" si="1"/>
        <v>0</v>
      </c>
      <c r="AB19" s="99">
        <f t="shared" si="1"/>
        <v>39531994.899999999</v>
      </c>
      <c r="AC19" s="99">
        <f t="shared" si="1"/>
        <v>0</v>
      </c>
      <c r="AD19" s="99">
        <f t="shared" si="1"/>
        <v>0</v>
      </c>
      <c r="AE19" s="99">
        <f>SUM(AE20:AE25)</f>
        <v>39531994.899999999</v>
      </c>
      <c r="AF19" s="97"/>
      <c r="AG19" s="100"/>
      <c r="AH19" s="101"/>
    </row>
    <row r="20" spans="1:34">
      <c r="A20" s="94"/>
      <c r="B20" s="21"/>
      <c r="C20" s="102" t="s">
        <v>131</v>
      </c>
      <c r="D20" s="102"/>
      <c r="E20" s="103"/>
      <c r="F20" s="104">
        <v>0</v>
      </c>
      <c r="G20" s="105">
        <f>1666133.98-1125</f>
        <v>1665008.98</v>
      </c>
      <c r="H20" s="105"/>
      <c r="I20" s="105"/>
      <c r="J20" s="105">
        <f t="shared" ref="J20:J25" si="2">SUM(F20:I20)</f>
        <v>1665008.98</v>
      </c>
      <c r="K20" s="105"/>
      <c r="L20" s="105">
        <v>0</v>
      </c>
      <c r="M20" s="105"/>
      <c r="N20" s="105">
        <v>0</v>
      </c>
      <c r="O20" s="105">
        <f>SUM(K20:N20)</f>
        <v>0</v>
      </c>
      <c r="P20" s="105"/>
      <c r="Q20" s="105"/>
      <c r="R20" s="105"/>
      <c r="S20" s="105"/>
      <c r="T20" s="105">
        <f t="shared" ref="T20:T25" si="3">SUM(P20:S20)</f>
        <v>0</v>
      </c>
      <c r="U20" s="105">
        <f t="shared" ref="U20:U25" si="4">+O20+T20</f>
        <v>0</v>
      </c>
      <c r="V20" s="99">
        <f t="shared" ref="V20:V25" si="5">+J20+U20</f>
        <v>1665008.98</v>
      </c>
      <c r="W20" s="105"/>
      <c r="X20" s="105"/>
      <c r="Y20" s="105"/>
      <c r="Z20" s="99">
        <f>SUM(Z21:Z26)</f>
        <v>0</v>
      </c>
      <c r="AA20" s="105">
        <f>+F20+K20+P20+W20</f>
        <v>0</v>
      </c>
      <c r="AB20" s="105">
        <f>+G20+L20+Q20+X20</f>
        <v>1665008.98</v>
      </c>
      <c r="AC20" s="105">
        <f>+H20+M20+R20</f>
        <v>0</v>
      </c>
      <c r="AD20" s="105">
        <f>+I20+N20+S20+Y20</f>
        <v>0</v>
      </c>
      <c r="AE20" s="105">
        <f t="shared" ref="AE20:AE46" si="6">SUM(AA20:AD20)</f>
        <v>1665008.98</v>
      </c>
      <c r="AF20" s="97"/>
      <c r="AG20" s="100"/>
      <c r="AH20" s="101"/>
    </row>
    <row r="21" spans="1:34">
      <c r="A21" s="94"/>
      <c r="B21" s="21"/>
      <c r="C21" s="21" t="s">
        <v>132</v>
      </c>
      <c r="D21" s="21"/>
      <c r="E21" s="95"/>
      <c r="F21" s="105">
        <v>0</v>
      </c>
      <c r="G21" s="105">
        <v>1165806.68</v>
      </c>
      <c r="H21" s="105"/>
      <c r="I21" s="105"/>
      <c r="J21" s="105">
        <f t="shared" si="2"/>
        <v>1165806.68</v>
      </c>
      <c r="K21" s="105"/>
      <c r="L21" s="105">
        <v>0</v>
      </c>
      <c r="M21" s="105"/>
      <c r="N21" s="105">
        <v>0</v>
      </c>
      <c r="O21" s="105">
        <f>SUM(K21:N21)</f>
        <v>0</v>
      </c>
      <c r="P21" s="105"/>
      <c r="Q21" s="105"/>
      <c r="R21" s="105"/>
      <c r="S21" s="105"/>
      <c r="T21" s="105">
        <f t="shared" si="3"/>
        <v>0</v>
      </c>
      <c r="U21" s="105">
        <f t="shared" si="4"/>
        <v>0</v>
      </c>
      <c r="V21" s="99">
        <f t="shared" si="5"/>
        <v>1165806.68</v>
      </c>
      <c r="W21" s="105"/>
      <c r="X21" s="105"/>
      <c r="Y21" s="105"/>
      <c r="Z21" s="99">
        <f>SUM(Z24:Z27)</f>
        <v>0</v>
      </c>
      <c r="AA21" s="105">
        <f t="shared" ref="AA21:AB25" si="7">+F21+K21+P21+W21</f>
        <v>0</v>
      </c>
      <c r="AB21" s="105">
        <f t="shared" si="7"/>
        <v>1165806.68</v>
      </c>
      <c r="AC21" s="105">
        <f t="shared" ref="AC21:AC25" si="8">+H21+M21+R21</f>
        <v>0</v>
      </c>
      <c r="AD21" s="105">
        <f t="shared" ref="AD21:AD25" si="9">+I21+N21+S21+Y21</f>
        <v>0</v>
      </c>
      <c r="AE21" s="105">
        <f t="shared" ref="AE21:AE25" si="10">SUM(AA21:AD21)</f>
        <v>1165806.68</v>
      </c>
      <c r="AF21" s="97"/>
      <c r="AG21" s="100"/>
      <c r="AH21" s="101"/>
    </row>
    <row r="22" spans="1:34">
      <c r="A22" s="94"/>
      <c r="B22" s="21"/>
      <c r="C22" s="21" t="s">
        <v>133</v>
      </c>
      <c r="D22" s="21"/>
      <c r="E22" s="95"/>
      <c r="F22" s="105">
        <v>0</v>
      </c>
      <c r="G22" s="105">
        <v>0</v>
      </c>
      <c r="H22" s="105"/>
      <c r="I22" s="105"/>
      <c r="J22" s="105">
        <f t="shared" si="2"/>
        <v>0</v>
      </c>
      <c r="K22" s="105"/>
      <c r="L22" s="105"/>
      <c r="M22" s="105"/>
      <c r="N22" s="105"/>
      <c r="O22" s="105">
        <f>SUM(K22:N22)</f>
        <v>0</v>
      </c>
      <c r="P22" s="105"/>
      <c r="Q22" s="105"/>
      <c r="R22" s="105"/>
      <c r="S22" s="105"/>
      <c r="T22" s="105">
        <f t="shared" si="3"/>
        <v>0</v>
      </c>
      <c r="U22" s="105">
        <f t="shared" si="4"/>
        <v>0</v>
      </c>
      <c r="V22" s="99">
        <f t="shared" si="5"/>
        <v>0</v>
      </c>
      <c r="W22" s="105"/>
      <c r="X22" s="105"/>
      <c r="Y22" s="105"/>
      <c r="Z22" s="99">
        <f>SUM(Z25:Z28)</f>
        <v>0</v>
      </c>
      <c r="AA22" s="105">
        <f t="shared" si="7"/>
        <v>0</v>
      </c>
      <c r="AB22" s="105">
        <f t="shared" si="7"/>
        <v>0</v>
      </c>
      <c r="AC22" s="105">
        <f t="shared" si="8"/>
        <v>0</v>
      </c>
      <c r="AD22" s="105">
        <f t="shared" si="9"/>
        <v>0</v>
      </c>
      <c r="AE22" s="105">
        <f t="shared" si="10"/>
        <v>0</v>
      </c>
      <c r="AF22" s="97"/>
      <c r="AG22" s="100"/>
      <c r="AH22" s="101"/>
    </row>
    <row r="23" spans="1:34">
      <c r="A23" s="94"/>
      <c r="B23" s="21"/>
      <c r="C23" s="21" t="s">
        <v>134</v>
      </c>
      <c r="D23" s="21"/>
      <c r="E23" s="95"/>
      <c r="F23" s="105"/>
      <c r="G23" s="105">
        <v>29286705.190000001</v>
      </c>
      <c r="H23" s="105"/>
      <c r="I23" s="105"/>
      <c r="J23" s="105">
        <f t="shared" si="2"/>
        <v>29286705.190000001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>
        <f t="shared" si="3"/>
        <v>0</v>
      </c>
      <c r="U23" s="105">
        <f t="shared" si="4"/>
        <v>0</v>
      </c>
      <c r="V23" s="99">
        <f t="shared" si="5"/>
        <v>29286705.190000001</v>
      </c>
      <c r="W23" s="105"/>
      <c r="X23" s="105"/>
      <c r="Y23" s="105"/>
      <c r="Z23" s="99">
        <f>SUM(Z26:Z29)</f>
        <v>0</v>
      </c>
      <c r="AA23" s="105">
        <f t="shared" si="7"/>
        <v>0</v>
      </c>
      <c r="AB23" s="105">
        <f t="shared" si="7"/>
        <v>29286705.190000001</v>
      </c>
      <c r="AC23" s="105">
        <f t="shared" si="8"/>
        <v>0</v>
      </c>
      <c r="AD23" s="105">
        <f t="shared" si="9"/>
        <v>0</v>
      </c>
      <c r="AE23" s="105">
        <f t="shared" si="10"/>
        <v>29286705.190000001</v>
      </c>
      <c r="AF23" s="97"/>
      <c r="AG23" s="100"/>
      <c r="AH23" s="101"/>
    </row>
    <row r="24" spans="1:34">
      <c r="A24" s="94"/>
      <c r="B24" s="21"/>
      <c r="C24" s="21" t="s">
        <v>135</v>
      </c>
      <c r="D24" s="21"/>
      <c r="E24" s="95"/>
      <c r="F24" s="105">
        <v>0</v>
      </c>
      <c r="G24" s="105">
        <v>0</v>
      </c>
      <c r="H24" s="105"/>
      <c r="I24" s="105"/>
      <c r="J24" s="105">
        <f t="shared" si="2"/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f>SUM(K24:N24)</f>
        <v>0</v>
      </c>
      <c r="P24" s="105"/>
      <c r="Q24" s="105"/>
      <c r="R24" s="105"/>
      <c r="S24" s="105"/>
      <c r="T24" s="105">
        <f t="shared" si="3"/>
        <v>0</v>
      </c>
      <c r="U24" s="105">
        <f t="shared" si="4"/>
        <v>0</v>
      </c>
      <c r="V24" s="99">
        <f t="shared" si="5"/>
        <v>0</v>
      </c>
      <c r="W24" s="105"/>
      <c r="X24" s="105"/>
      <c r="Y24" s="105"/>
      <c r="Z24" s="99">
        <f t="shared" ref="Z24:Z25" si="11">SUM(Z25:Z28)</f>
        <v>0</v>
      </c>
      <c r="AA24" s="105">
        <f t="shared" si="7"/>
        <v>0</v>
      </c>
      <c r="AB24" s="105">
        <f t="shared" si="7"/>
        <v>0</v>
      </c>
      <c r="AC24" s="105">
        <f t="shared" si="8"/>
        <v>0</v>
      </c>
      <c r="AD24" s="105">
        <f t="shared" si="9"/>
        <v>0</v>
      </c>
      <c r="AE24" s="105">
        <f t="shared" si="10"/>
        <v>0</v>
      </c>
      <c r="AF24" s="97"/>
      <c r="AG24" s="100"/>
      <c r="AH24" s="101"/>
    </row>
    <row r="25" spans="1:34">
      <c r="A25" s="94"/>
      <c r="B25" s="21"/>
      <c r="C25" s="102" t="s">
        <v>136</v>
      </c>
      <c r="D25" s="102"/>
      <c r="E25" s="103"/>
      <c r="F25" s="104">
        <v>0</v>
      </c>
      <c r="G25" s="104">
        <v>7414474.0499999998</v>
      </c>
      <c r="H25" s="104"/>
      <c r="I25" s="104"/>
      <c r="J25" s="104">
        <f t="shared" si="2"/>
        <v>7414474.0499999998</v>
      </c>
      <c r="K25" s="105"/>
      <c r="L25" s="105">
        <v>0</v>
      </c>
      <c r="M25" s="105"/>
      <c r="N25" s="105">
        <v>0</v>
      </c>
      <c r="O25" s="105">
        <f>SUM(K25:N25)</f>
        <v>0</v>
      </c>
      <c r="P25" s="105"/>
      <c r="Q25" s="105"/>
      <c r="R25" s="105"/>
      <c r="S25" s="105"/>
      <c r="T25" s="105">
        <f t="shared" si="3"/>
        <v>0</v>
      </c>
      <c r="U25" s="105">
        <f t="shared" si="4"/>
        <v>0</v>
      </c>
      <c r="V25" s="99">
        <f t="shared" si="5"/>
        <v>7414474.0499999998</v>
      </c>
      <c r="W25" s="105"/>
      <c r="X25" s="105"/>
      <c r="Y25" s="105"/>
      <c r="Z25" s="99">
        <f t="shared" si="11"/>
        <v>0</v>
      </c>
      <c r="AA25" s="105">
        <f t="shared" si="7"/>
        <v>0</v>
      </c>
      <c r="AB25" s="105">
        <f t="shared" si="7"/>
        <v>7414474.0499999998</v>
      </c>
      <c r="AC25" s="105">
        <f t="shared" si="8"/>
        <v>0</v>
      </c>
      <c r="AD25" s="105">
        <f t="shared" si="9"/>
        <v>0</v>
      </c>
      <c r="AE25" s="105">
        <f t="shared" si="10"/>
        <v>7414474.0499999998</v>
      </c>
      <c r="AF25" s="97"/>
      <c r="AG25" s="100"/>
      <c r="AH25" s="101"/>
    </row>
    <row r="26" spans="1:34" ht="6.75" customHeight="1">
      <c r="A26" s="94"/>
      <c r="B26" s="21"/>
      <c r="C26" s="102"/>
      <c r="D26" s="21"/>
      <c r="E26" s="95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97"/>
      <c r="AG26" s="100"/>
      <c r="AH26" s="101"/>
    </row>
    <row r="27" spans="1:34">
      <c r="A27" s="94"/>
      <c r="B27" s="21"/>
      <c r="C27" s="21" t="s">
        <v>33</v>
      </c>
      <c r="D27" s="21"/>
      <c r="E27" s="95"/>
      <c r="F27" s="99">
        <f>SUM(F28:F30)</f>
        <v>0</v>
      </c>
      <c r="G27" s="99">
        <f t="shared" ref="G27:AE27" si="12">SUM(G28:G30)</f>
        <v>1125</v>
      </c>
      <c r="H27" s="99">
        <f t="shared" si="12"/>
        <v>0</v>
      </c>
      <c r="I27" s="99">
        <f t="shared" si="12"/>
        <v>0</v>
      </c>
      <c r="J27" s="99">
        <f t="shared" si="12"/>
        <v>1125</v>
      </c>
      <c r="K27" s="99">
        <f t="shared" si="12"/>
        <v>0</v>
      </c>
      <c r="L27" s="99">
        <f t="shared" si="12"/>
        <v>0</v>
      </c>
      <c r="M27" s="99">
        <f t="shared" si="12"/>
        <v>0</v>
      </c>
      <c r="N27" s="99">
        <f t="shared" si="12"/>
        <v>0</v>
      </c>
      <c r="O27" s="99">
        <f>SUM(O28:O30)</f>
        <v>0</v>
      </c>
      <c r="P27" s="99">
        <f t="shared" si="12"/>
        <v>0</v>
      </c>
      <c r="Q27" s="99">
        <f t="shared" si="12"/>
        <v>0</v>
      </c>
      <c r="R27" s="99">
        <f t="shared" si="12"/>
        <v>0</v>
      </c>
      <c r="S27" s="99">
        <f t="shared" si="12"/>
        <v>0</v>
      </c>
      <c r="T27" s="99">
        <f t="shared" si="12"/>
        <v>0</v>
      </c>
      <c r="U27" s="99">
        <f t="shared" si="12"/>
        <v>0</v>
      </c>
      <c r="V27" s="99">
        <f t="shared" si="12"/>
        <v>0</v>
      </c>
      <c r="W27" s="99">
        <f t="shared" si="12"/>
        <v>0</v>
      </c>
      <c r="X27" s="99">
        <f t="shared" si="12"/>
        <v>0</v>
      </c>
      <c r="Y27" s="99">
        <f t="shared" si="12"/>
        <v>0</v>
      </c>
      <c r="Z27" s="99">
        <f t="shared" si="12"/>
        <v>0</v>
      </c>
      <c r="AA27" s="99">
        <f t="shared" si="12"/>
        <v>0</v>
      </c>
      <c r="AB27" s="99">
        <f t="shared" si="12"/>
        <v>1125</v>
      </c>
      <c r="AC27" s="99">
        <f t="shared" si="12"/>
        <v>0</v>
      </c>
      <c r="AD27" s="99">
        <f t="shared" si="12"/>
        <v>0</v>
      </c>
      <c r="AE27" s="99">
        <f t="shared" si="12"/>
        <v>1125</v>
      </c>
      <c r="AF27" s="97"/>
      <c r="AG27" s="100"/>
      <c r="AH27" s="101"/>
    </row>
    <row r="28" spans="1:34">
      <c r="A28" s="94"/>
      <c r="B28" s="21"/>
      <c r="C28" s="21" t="s">
        <v>131</v>
      </c>
      <c r="D28" s="21"/>
      <c r="E28" s="95"/>
      <c r="F28" s="105"/>
      <c r="G28" s="105">
        <v>1125</v>
      </c>
      <c r="H28" s="105"/>
      <c r="I28" s="105"/>
      <c r="J28" s="105">
        <f t="shared" ref="J28:J46" si="13">SUM(F28:I28)</f>
        <v>1125</v>
      </c>
      <c r="K28" s="105"/>
      <c r="L28" s="105"/>
      <c r="M28" s="105"/>
      <c r="N28" s="105"/>
      <c r="O28" s="105">
        <f t="shared" ref="O28:O46" si="14">SUM(K28:N28)</f>
        <v>0</v>
      </c>
      <c r="P28" s="105"/>
      <c r="Q28" s="105"/>
      <c r="R28" s="105"/>
      <c r="S28" s="105"/>
      <c r="T28" s="105">
        <f t="shared" ref="T28:T46" si="15">SUM(P28:S28)</f>
        <v>0</v>
      </c>
      <c r="U28" s="105">
        <f t="shared" ref="U28:U46" si="16">+O28+T28</f>
        <v>0</v>
      </c>
      <c r="V28" s="105"/>
      <c r="W28" s="105"/>
      <c r="X28" s="105"/>
      <c r="Y28" s="105"/>
      <c r="Z28" s="105"/>
      <c r="AA28" s="105">
        <f t="shared" ref="AA28:AB44" si="17">+F28+K28+P28+W28</f>
        <v>0</v>
      </c>
      <c r="AB28" s="105">
        <f t="shared" si="17"/>
        <v>1125</v>
      </c>
      <c r="AC28" s="105">
        <f t="shared" ref="AC28:AC46" si="18">+H28+M28+R28</f>
        <v>0</v>
      </c>
      <c r="AD28" s="105">
        <f t="shared" ref="AD28:AD46" si="19">+I28+N28+S28+Y28</f>
        <v>0</v>
      </c>
      <c r="AE28" s="105">
        <f t="shared" si="6"/>
        <v>1125</v>
      </c>
      <c r="AF28" s="97"/>
      <c r="AG28" s="100"/>
      <c r="AH28" s="101"/>
    </row>
    <row r="29" spans="1:34">
      <c r="A29" s="94"/>
      <c r="B29" s="21"/>
      <c r="C29" s="21" t="s">
        <v>137</v>
      </c>
      <c r="D29" s="21"/>
      <c r="E29" s="95"/>
      <c r="F29" s="105"/>
      <c r="G29" s="105"/>
      <c r="H29" s="105"/>
      <c r="I29" s="105"/>
      <c r="J29" s="105">
        <f t="shared" si="13"/>
        <v>0</v>
      </c>
      <c r="K29" s="105"/>
      <c r="L29" s="105"/>
      <c r="M29" s="105"/>
      <c r="N29" s="105"/>
      <c r="O29" s="105">
        <f t="shared" si="14"/>
        <v>0</v>
      </c>
      <c r="P29" s="105"/>
      <c r="Q29" s="105"/>
      <c r="R29" s="105"/>
      <c r="S29" s="105"/>
      <c r="T29" s="105">
        <f t="shared" si="15"/>
        <v>0</v>
      </c>
      <c r="U29" s="105">
        <f t="shared" si="16"/>
        <v>0</v>
      </c>
      <c r="V29" s="105"/>
      <c r="W29" s="105"/>
      <c r="X29" s="105"/>
      <c r="Y29" s="105"/>
      <c r="Z29" s="105"/>
      <c r="AA29" s="105">
        <f t="shared" si="17"/>
        <v>0</v>
      </c>
      <c r="AB29" s="105">
        <f t="shared" si="17"/>
        <v>0</v>
      </c>
      <c r="AC29" s="105">
        <f t="shared" si="18"/>
        <v>0</v>
      </c>
      <c r="AD29" s="105">
        <f t="shared" si="19"/>
        <v>0</v>
      </c>
      <c r="AE29" s="105">
        <f t="shared" si="6"/>
        <v>0</v>
      </c>
      <c r="AF29" s="97"/>
      <c r="AG29" s="100"/>
      <c r="AH29" s="101"/>
    </row>
    <row r="30" spans="1:34">
      <c r="A30" s="81"/>
      <c r="B30" s="82"/>
      <c r="C30" s="107" t="s">
        <v>138</v>
      </c>
      <c r="D30" s="82"/>
      <c r="E30" s="83"/>
      <c r="F30" s="108"/>
      <c r="G30" s="108"/>
      <c r="H30" s="108"/>
      <c r="I30" s="108"/>
      <c r="J30" s="108">
        <f t="shared" si="13"/>
        <v>0</v>
      </c>
      <c r="K30" s="108"/>
      <c r="L30" s="108"/>
      <c r="M30" s="108"/>
      <c r="N30" s="108"/>
      <c r="O30" s="108">
        <f t="shared" si="14"/>
        <v>0</v>
      </c>
      <c r="P30" s="108"/>
      <c r="Q30" s="108"/>
      <c r="R30" s="108"/>
      <c r="S30" s="108"/>
      <c r="T30" s="108">
        <f t="shared" si="15"/>
        <v>0</v>
      </c>
      <c r="U30" s="108">
        <f t="shared" si="16"/>
        <v>0</v>
      </c>
      <c r="V30" s="108"/>
      <c r="W30" s="108"/>
      <c r="X30" s="108"/>
      <c r="Y30" s="108"/>
      <c r="Z30" s="108"/>
      <c r="AA30" s="108">
        <f t="shared" si="17"/>
        <v>0</v>
      </c>
      <c r="AB30" s="108">
        <f t="shared" si="17"/>
        <v>0</v>
      </c>
      <c r="AC30" s="108">
        <f t="shared" si="18"/>
        <v>0</v>
      </c>
      <c r="AD30" s="108">
        <f t="shared" si="19"/>
        <v>0</v>
      </c>
      <c r="AE30" s="108">
        <f t="shared" si="6"/>
        <v>0</v>
      </c>
      <c r="AF30" s="109"/>
      <c r="AG30" s="100"/>
      <c r="AH30" s="101"/>
    </row>
    <row r="31" spans="1:34" ht="4.5" customHeight="1">
      <c r="A31" s="94"/>
      <c r="B31" s="21"/>
      <c r="C31" s="21"/>
      <c r="D31" s="21"/>
      <c r="E31" s="95"/>
      <c r="F31" s="106"/>
      <c r="G31" s="106"/>
      <c r="H31" s="106"/>
      <c r="I31" s="106"/>
      <c r="J31" s="106">
        <f t="shared" si="13"/>
        <v>0</v>
      </c>
      <c r="K31" s="106"/>
      <c r="L31" s="106"/>
      <c r="M31" s="106"/>
      <c r="N31" s="106"/>
      <c r="O31" s="106">
        <f t="shared" si="14"/>
        <v>0</v>
      </c>
      <c r="P31" s="106"/>
      <c r="Q31" s="106"/>
      <c r="R31" s="106"/>
      <c r="S31" s="106"/>
      <c r="T31" s="106">
        <f t="shared" si="15"/>
        <v>0</v>
      </c>
      <c r="U31" s="106">
        <f t="shared" si="16"/>
        <v>0</v>
      </c>
      <c r="V31" s="106">
        <f t="shared" ref="V31:V46" si="20">+J31+U31</f>
        <v>0</v>
      </c>
      <c r="W31" s="106"/>
      <c r="X31" s="106"/>
      <c r="Y31" s="106"/>
      <c r="Z31" s="106">
        <f t="shared" ref="Z31:Z46" si="21">SUM(W31:Y31)</f>
        <v>0</v>
      </c>
      <c r="AA31" s="106">
        <f t="shared" si="17"/>
        <v>0</v>
      </c>
      <c r="AB31" s="106">
        <f t="shared" si="17"/>
        <v>0</v>
      </c>
      <c r="AC31" s="106">
        <f t="shared" si="18"/>
        <v>0</v>
      </c>
      <c r="AD31" s="106">
        <f t="shared" si="19"/>
        <v>0</v>
      </c>
      <c r="AE31" s="106">
        <f t="shared" si="6"/>
        <v>0</v>
      </c>
      <c r="AF31" s="97"/>
      <c r="AG31" s="100"/>
      <c r="AH31" s="101"/>
    </row>
    <row r="32" spans="1:34">
      <c r="A32" s="94"/>
      <c r="B32" s="21" t="s">
        <v>139</v>
      </c>
      <c r="C32" s="21"/>
      <c r="D32" s="21"/>
      <c r="E32" s="95"/>
      <c r="F32" s="106"/>
      <c r="G32" s="106"/>
      <c r="H32" s="106"/>
      <c r="I32" s="106"/>
      <c r="J32" s="106">
        <f t="shared" si="13"/>
        <v>0</v>
      </c>
      <c r="K32" s="106"/>
      <c r="L32" s="106"/>
      <c r="M32" s="106"/>
      <c r="N32" s="106"/>
      <c r="O32" s="106">
        <f t="shared" si="14"/>
        <v>0</v>
      </c>
      <c r="P32" s="106"/>
      <c r="Q32" s="106"/>
      <c r="R32" s="106"/>
      <c r="S32" s="106"/>
      <c r="T32" s="106">
        <f t="shared" si="15"/>
        <v>0</v>
      </c>
      <c r="U32" s="106">
        <f t="shared" si="16"/>
        <v>0</v>
      </c>
      <c r="V32" s="106">
        <f t="shared" si="20"/>
        <v>0</v>
      </c>
      <c r="W32" s="106"/>
      <c r="X32" s="106"/>
      <c r="Y32" s="106"/>
      <c r="Z32" s="106">
        <f t="shared" si="21"/>
        <v>0</v>
      </c>
      <c r="AA32" s="106">
        <f t="shared" si="17"/>
        <v>0</v>
      </c>
      <c r="AB32" s="106">
        <f t="shared" si="17"/>
        <v>0</v>
      </c>
      <c r="AC32" s="106">
        <f t="shared" si="18"/>
        <v>0</v>
      </c>
      <c r="AD32" s="106">
        <f t="shared" si="19"/>
        <v>0</v>
      </c>
      <c r="AE32" s="106">
        <f t="shared" si="6"/>
        <v>0</v>
      </c>
      <c r="AF32" s="97"/>
      <c r="AG32" s="100"/>
      <c r="AH32" s="101"/>
    </row>
    <row r="33" spans="1:34" ht="4.5" customHeight="1">
      <c r="A33" s="94"/>
      <c r="B33" s="21"/>
      <c r="C33" s="21"/>
      <c r="D33" s="21"/>
      <c r="E33" s="95"/>
      <c r="F33" s="106"/>
      <c r="G33" s="106"/>
      <c r="H33" s="106"/>
      <c r="I33" s="106"/>
      <c r="J33" s="106">
        <f t="shared" si="13"/>
        <v>0</v>
      </c>
      <c r="K33" s="106"/>
      <c r="L33" s="106"/>
      <c r="M33" s="106"/>
      <c r="N33" s="106">
        <v>0</v>
      </c>
      <c r="O33" s="106">
        <f t="shared" si="14"/>
        <v>0</v>
      </c>
      <c r="P33" s="106"/>
      <c r="Q33" s="106"/>
      <c r="R33" s="106"/>
      <c r="S33" s="106"/>
      <c r="T33" s="106">
        <f t="shared" si="15"/>
        <v>0</v>
      </c>
      <c r="U33" s="106">
        <f t="shared" si="16"/>
        <v>0</v>
      </c>
      <c r="V33" s="106">
        <f t="shared" si="20"/>
        <v>0</v>
      </c>
      <c r="W33" s="106"/>
      <c r="X33" s="106"/>
      <c r="Y33" s="106"/>
      <c r="Z33" s="106">
        <f t="shared" si="21"/>
        <v>0</v>
      </c>
      <c r="AA33" s="106">
        <f t="shared" si="17"/>
        <v>0</v>
      </c>
      <c r="AB33" s="106">
        <f t="shared" si="17"/>
        <v>0</v>
      </c>
      <c r="AC33" s="106">
        <f t="shared" si="18"/>
        <v>0</v>
      </c>
      <c r="AD33" s="106">
        <f t="shared" si="19"/>
        <v>0</v>
      </c>
      <c r="AE33" s="106">
        <f t="shared" si="6"/>
        <v>0</v>
      </c>
      <c r="AF33" s="97"/>
      <c r="AG33" s="100"/>
      <c r="AH33" s="101"/>
    </row>
    <row r="34" spans="1:34">
      <c r="A34" s="94"/>
      <c r="B34" s="21" t="s">
        <v>36</v>
      </c>
      <c r="C34" s="21"/>
      <c r="D34" s="21"/>
      <c r="E34" s="95"/>
      <c r="F34" s="99">
        <f>SUM(F35:F40)</f>
        <v>0</v>
      </c>
      <c r="G34" s="99">
        <f>SUM(G35:G40)</f>
        <v>418469.73</v>
      </c>
      <c r="H34" s="99">
        <f t="shared" ref="H34:AE34" si="22">SUM(H35:H40)</f>
        <v>0</v>
      </c>
      <c r="I34" s="99">
        <f t="shared" si="22"/>
        <v>0</v>
      </c>
      <c r="J34" s="99">
        <f>SUM(J35:J40)</f>
        <v>418469.73</v>
      </c>
      <c r="K34" s="99">
        <f t="shared" si="22"/>
        <v>0</v>
      </c>
      <c r="L34" s="99">
        <f>SUM(L35:L40)</f>
        <v>0</v>
      </c>
      <c r="M34" s="99">
        <f t="shared" si="22"/>
        <v>0</v>
      </c>
      <c r="N34" s="99">
        <f>SUM(N35:N40)</f>
        <v>0</v>
      </c>
      <c r="O34" s="99">
        <f>SUM(O35:O40)</f>
        <v>0</v>
      </c>
      <c r="P34" s="99">
        <f t="shared" si="22"/>
        <v>0</v>
      </c>
      <c r="Q34" s="99">
        <f t="shared" si="22"/>
        <v>0</v>
      </c>
      <c r="R34" s="99">
        <f t="shared" si="22"/>
        <v>0</v>
      </c>
      <c r="S34" s="99">
        <f t="shared" si="22"/>
        <v>0</v>
      </c>
      <c r="T34" s="99">
        <f t="shared" si="22"/>
        <v>0</v>
      </c>
      <c r="U34" s="99">
        <f>SUM(U35:U40)</f>
        <v>0</v>
      </c>
      <c r="V34" s="99">
        <f t="shared" si="22"/>
        <v>418469.73</v>
      </c>
      <c r="W34" s="99">
        <f t="shared" si="22"/>
        <v>0</v>
      </c>
      <c r="X34" s="99">
        <f t="shared" si="22"/>
        <v>0</v>
      </c>
      <c r="Y34" s="99">
        <f t="shared" si="22"/>
        <v>0</v>
      </c>
      <c r="Z34" s="99">
        <f>SUM(Z35:Z40)</f>
        <v>0</v>
      </c>
      <c r="AA34" s="99">
        <f t="shared" si="22"/>
        <v>0</v>
      </c>
      <c r="AB34" s="99">
        <f t="shared" si="22"/>
        <v>418469.73</v>
      </c>
      <c r="AC34" s="99">
        <f t="shared" si="22"/>
        <v>0</v>
      </c>
      <c r="AD34" s="99">
        <f t="shared" si="22"/>
        <v>0</v>
      </c>
      <c r="AE34" s="99">
        <f t="shared" si="22"/>
        <v>418469.73</v>
      </c>
      <c r="AF34" s="97"/>
      <c r="AG34" s="100"/>
      <c r="AH34" s="101"/>
    </row>
    <row r="35" spans="1:34">
      <c r="A35" s="94"/>
      <c r="B35" s="21"/>
      <c r="C35" s="21" t="s">
        <v>131</v>
      </c>
      <c r="D35" s="21"/>
      <c r="E35" s="95"/>
      <c r="F35" s="105"/>
      <c r="G35" s="105">
        <f>176517.67+70607.06</f>
        <v>247124.73</v>
      </c>
      <c r="H35" s="105"/>
      <c r="I35" s="105"/>
      <c r="J35" s="105">
        <f t="shared" ref="J35:J40" si="23">SUM(F35:I35)</f>
        <v>247124.73</v>
      </c>
      <c r="K35" s="105"/>
      <c r="L35" s="105">
        <v>0</v>
      </c>
      <c r="M35" s="105"/>
      <c r="N35" s="105">
        <v>0</v>
      </c>
      <c r="O35" s="105">
        <f>SUM(K35:N35)</f>
        <v>0</v>
      </c>
      <c r="P35" s="105"/>
      <c r="Q35" s="105"/>
      <c r="R35" s="105"/>
      <c r="S35" s="105"/>
      <c r="T35" s="105">
        <f>SUM(P35:S35)</f>
        <v>0</v>
      </c>
      <c r="U35" s="105">
        <f>+O35+T35</f>
        <v>0</v>
      </c>
      <c r="V35" s="99">
        <f>+J35+U35</f>
        <v>247124.73</v>
      </c>
      <c r="W35" s="105"/>
      <c r="X35" s="105"/>
      <c r="Y35" s="105"/>
      <c r="Z35" s="105"/>
      <c r="AA35" s="105">
        <f t="shared" ref="AA35:AB40" si="24">+F35+K35+P35+W35</f>
        <v>0</v>
      </c>
      <c r="AB35" s="105">
        <f t="shared" si="24"/>
        <v>247124.73</v>
      </c>
      <c r="AC35" s="105">
        <f t="shared" ref="AC35:AC40" si="25">+H35+M35+R35</f>
        <v>0</v>
      </c>
      <c r="AD35" s="105">
        <f t="shared" ref="AD35:AD40" si="26">+I35+N35+S35+Y35</f>
        <v>0</v>
      </c>
      <c r="AE35" s="105">
        <f t="shared" ref="AE35:AE40" si="27">SUM(AA35:AD35)</f>
        <v>247124.73</v>
      </c>
      <c r="AF35" s="97"/>
      <c r="AG35" s="100"/>
      <c r="AH35" s="101"/>
    </row>
    <row r="36" spans="1:34">
      <c r="A36" s="94"/>
      <c r="B36" s="21"/>
      <c r="C36" s="21" t="s">
        <v>132</v>
      </c>
      <c r="D36" s="21"/>
      <c r="E36" s="95"/>
      <c r="F36" s="105"/>
      <c r="G36" s="105">
        <f>36945+134400</f>
        <v>171345</v>
      </c>
      <c r="H36" s="105"/>
      <c r="I36" s="105"/>
      <c r="J36" s="105">
        <f t="shared" si="23"/>
        <v>171345</v>
      </c>
      <c r="K36" s="105"/>
      <c r="L36" s="105"/>
      <c r="M36" s="105"/>
      <c r="N36" s="105"/>
      <c r="O36" s="105">
        <f>SUM(K36:N36)</f>
        <v>0</v>
      </c>
      <c r="P36" s="105"/>
      <c r="Q36" s="105"/>
      <c r="R36" s="105"/>
      <c r="S36" s="105"/>
      <c r="T36" s="105">
        <f>SUM(P36:S36)</f>
        <v>0</v>
      </c>
      <c r="U36" s="105">
        <f>+O36+T36</f>
        <v>0</v>
      </c>
      <c r="V36" s="99">
        <f>+J36+U36</f>
        <v>171345</v>
      </c>
      <c r="W36" s="105"/>
      <c r="X36" s="105"/>
      <c r="Y36" s="105"/>
      <c r="Z36" s="105"/>
      <c r="AA36" s="105">
        <f t="shared" si="24"/>
        <v>0</v>
      </c>
      <c r="AB36" s="105">
        <f t="shared" si="24"/>
        <v>171345</v>
      </c>
      <c r="AC36" s="105">
        <f t="shared" si="25"/>
        <v>0</v>
      </c>
      <c r="AD36" s="105">
        <f t="shared" si="26"/>
        <v>0</v>
      </c>
      <c r="AE36" s="105">
        <f t="shared" si="27"/>
        <v>171345</v>
      </c>
      <c r="AF36" s="97"/>
      <c r="AG36" s="100"/>
      <c r="AH36" s="101"/>
    </row>
    <row r="37" spans="1:34">
      <c r="A37" s="94"/>
      <c r="B37" s="21"/>
      <c r="C37" s="21" t="s">
        <v>133</v>
      </c>
      <c r="D37" s="21"/>
      <c r="E37" s="95"/>
      <c r="F37" s="105"/>
      <c r="G37" s="105">
        <v>0</v>
      </c>
      <c r="H37" s="105"/>
      <c r="I37" s="105"/>
      <c r="J37" s="105">
        <f t="shared" si="23"/>
        <v>0</v>
      </c>
      <c r="K37" s="105"/>
      <c r="L37" s="105"/>
      <c r="M37" s="105"/>
      <c r="N37" s="105"/>
      <c r="O37" s="105">
        <f>SUM(K37:N37)</f>
        <v>0</v>
      </c>
      <c r="P37" s="105"/>
      <c r="Q37" s="105"/>
      <c r="R37" s="105"/>
      <c r="S37" s="105"/>
      <c r="T37" s="105">
        <f>SUM(P37:S37)</f>
        <v>0</v>
      </c>
      <c r="U37" s="105">
        <f>+O37+T37</f>
        <v>0</v>
      </c>
      <c r="V37" s="99">
        <f>+J37+U37</f>
        <v>0</v>
      </c>
      <c r="W37" s="105"/>
      <c r="X37" s="105"/>
      <c r="Y37" s="105"/>
      <c r="Z37" s="105"/>
      <c r="AA37" s="105">
        <f t="shared" si="24"/>
        <v>0</v>
      </c>
      <c r="AB37" s="105">
        <f t="shared" si="24"/>
        <v>0</v>
      </c>
      <c r="AC37" s="105">
        <f t="shared" si="25"/>
        <v>0</v>
      </c>
      <c r="AD37" s="105">
        <f t="shared" si="26"/>
        <v>0</v>
      </c>
      <c r="AE37" s="105">
        <f t="shared" si="27"/>
        <v>0</v>
      </c>
      <c r="AF37" s="97"/>
      <c r="AG37" s="100"/>
      <c r="AH37" s="101"/>
    </row>
    <row r="38" spans="1:34">
      <c r="A38" s="94"/>
      <c r="B38" s="21"/>
      <c r="C38" s="21" t="s">
        <v>134</v>
      </c>
      <c r="D38" s="21"/>
      <c r="E38" s="95"/>
      <c r="F38" s="105"/>
      <c r="G38" s="105">
        <v>0</v>
      </c>
      <c r="H38" s="105"/>
      <c r="I38" s="105"/>
      <c r="J38" s="105">
        <f t="shared" si="23"/>
        <v>0</v>
      </c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99"/>
      <c r="W38" s="105"/>
      <c r="X38" s="105"/>
      <c r="Y38" s="105"/>
      <c r="Z38" s="105"/>
      <c r="AA38" s="105"/>
      <c r="AB38" s="105">
        <f t="shared" si="24"/>
        <v>0</v>
      </c>
      <c r="AC38" s="105"/>
      <c r="AD38" s="105"/>
      <c r="AE38" s="105"/>
      <c r="AF38" s="97"/>
      <c r="AG38" s="100"/>
      <c r="AH38" s="101"/>
    </row>
    <row r="39" spans="1:34">
      <c r="A39" s="94"/>
      <c r="B39" s="21"/>
      <c r="C39" s="21" t="s">
        <v>137</v>
      </c>
      <c r="D39" s="21"/>
      <c r="E39" s="95"/>
      <c r="F39" s="105"/>
      <c r="G39" s="105">
        <v>0</v>
      </c>
      <c r="H39" s="105"/>
      <c r="I39" s="105">
        <v>0</v>
      </c>
      <c r="J39" s="105">
        <f t="shared" si="23"/>
        <v>0</v>
      </c>
      <c r="K39" s="105"/>
      <c r="L39" s="105">
        <v>0</v>
      </c>
      <c r="M39" s="105"/>
      <c r="N39" s="105"/>
      <c r="O39" s="105">
        <f>SUM(K39:N39)</f>
        <v>0</v>
      </c>
      <c r="P39" s="105"/>
      <c r="Q39" s="105"/>
      <c r="R39" s="105"/>
      <c r="S39" s="105"/>
      <c r="T39" s="105">
        <f>SUM(P39:S39)</f>
        <v>0</v>
      </c>
      <c r="U39" s="105">
        <f>+O39+T39</f>
        <v>0</v>
      </c>
      <c r="V39" s="99">
        <f>+J39+U39</f>
        <v>0</v>
      </c>
      <c r="W39" s="105"/>
      <c r="X39" s="105"/>
      <c r="Y39" s="105"/>
      <c r="Z39" s="105"/>
      <c r="AA39" s="105">
        <f t="shared" si="24"/>
        <v>0</v>
      </c>
      <c r="AB39" s="105">
        <f t="shared" si="24"/>
        <v>0</v>
      </c>
      <c r="AC39" s="105">
        <f t="shared" si="25"/>
        <v>0</v>
      </c>
      <c r="AD39" s="105">
        <f t="shared" si="26"/>
        <v>0</v>
      </c>
      <c r="AE39" s="105">
        <f t="shared" si="27"/>
        <v>0</v>
      </c>
      <c r="AF39" s="97"/>
      <c r="AG39" s="100"/>
      <c r="AH39" s="101"/>
    </row>
    <row r="40" spans="1:34">
      <c r="A40" s="94"/>
      <c r="B40" s="21"/>
      <c r="C40" s="102" t="s">
        <v>138</v>
      </c>
      <c r="D40" s="21"/>
      <c r="E40" s="95"/>
      <c r="F40" s="105"/>
      <c r="G40" s="105">
        <v>0</v>
      </c>
      <c r="H40" s="105"/>
      <c r="I40" s="105">
        <v>0</v>
      </c>
      <c r="J40" s="105">
        <f t="shared" si="23"/>
        <v>0</v>
      </c>
      <c r="K40" s="105"/>
      <c r="L40" s="105"/>
      <c r="M40" s="105"/>
      <c r="N40" s="105"/>
      <c r="O40" s="105">
        <f>SUM(K40:N40)</f>
        <v>0</v>
      </c>
      <c r="P40" s="105"/>
      <c r="Q40" s="105"/>
      <c r="R40" s="105"/>
      <c r="S40" s="105"/>
      <c r="T40" s="105">
        <f>SUM(P40:S40)</f>
        <v>0</v>
      </c>
      <c r="U40" s="105">
        <f>+O40+T40</f>
        <v>0</v>
      </c>
      <c r="V40" s="99">
        <f>+J40+U40</f>
        <v>0</v>
      </c>
      <c r="W40" s="105"/>
      <c r="X40" s="105"/>
      <c r="Y40" s="105"/>
      <c r="Z40" s="105"/>
      <c r="AA40" s="105">
        <f t="shared" si="24"/>
        <v>0</v>
      </c>
      <c r="AB40" s="105">
        <f t="shared" si="24"/>
        <v>0</v>
      </c>
      <c r="AC40" s="105">
        <f t="shared" si="25"/>
        <v>0</v>
      </c>
      <c r="AD40" s="105">
        <f t="shared" si="26"/>
        <v>0</v>
      </c>
      <c r="AE40" s="105">
        <f t="shared" si="27"/>
        <v>0</v>
      </c>
      <c r="AF40" s="97"/>
      <c r="AG40" s="100"/>
      <c r="AH40" s="101"/>
    </row>
    <row r="41" spans="1:34" ht="5.25" customHeight="1">
      <c r="A41" s="94"/>
      <c r="B41" s="21"/>
      <c r="C41" s="21"/>
      <c r="D41" s="21"/>
      <c r="E41" s="95"/>
      <c r="F41" s="106"/>
      <c r="G41" s="106"/>
      <c r="H41" s="106"/>
      <c r="I41" s="106"/>
      <c r="J41" s="106">
        <f t="shared" si="13"/>
        <v>0</v>
      </c>
      <c r="K41" s="106"/>
      <c r="L41" s="106"/>
      <c r="M41" s="106"/>
      <c r="N41" s="106"/>
      <c r="O41" s="106">
        <f t="shared" si="14"/>
        <v>0</v>
      </c>
      <c r="P41" s="106"/>
      <c r="Q41" s="106"/>
      <c r="R41" s="106"/>
      <c r="S41" s="106"/>
      <c r="T41" s="106">
        <f t="shared" si="15"/>
        <v>0</v>
      </c>
      <c r="U41" s="106">
        <f t="shared" si="16"/>
        <v>0</v>
      </c>
      <c r="V41" s="106">
        <f t="shared" si="20"/>
        <v>0</v>
      </c>
      <c r="W41" s="106"/>
      <c r="X41" s="106"/>
      <c r="Y41" s="106"/>
      <c r="Z41" s="106">
        <f t="shared" si="21"/>
        <v>0</v>
      </c>
      <c r="AA41" s="106">
        <f t="shared" si="17"/>
        <v>0</v>
      </c>
      <c r="AB41" s="106">
        <f t="shared" si="17"/>
        <v>0</v>
      </c>
      <c r="AC41" s="106">
        <f t="shared" si="18"/>
        <v>0</v>
      </c>
      <c r="AD41" s="106">
        <f t="shared" si="19"/>
        <v>0</v>
      </c>
      <c r="AE41" s="106">
        <f t="shared" si="6"/>
        <v>0</v>
      </c>
      <c r="AF41" s="97"/>
      <c r="AG41" s="100"/>
    </row>
    <row r="42" spans="1:34">
      <c r="A42" s="94"/>
      <c r="B42" s="21" t="s">
        <v>37</v>
      </c>
      <c r="C42" s="21"/>
      <c r="D42" s="21"/>
      <c r="E42" s="95"/>
      <c r="F42" s="106"/>
      <c r="G42" s="106"/>
      <c r="H42" s="106"/>
      <c r="I42" s="106"/>
      <c r="J42" s="106">
        <f t="shared" si="13"/>
        <v>0</v>
      </c>
      <c r="K42" s="106"/>
      <c r="L42" s="106"/>
      <c r="M42" s="106"/>
      <c r="N42" s="106"/>
      <c r="O42" s="106">
        <f t="shared" si="14"/>
        <v>0</v>
      </c>
      <c r="P42" s="106"/>
      <c r="Q42" s="106"/>
      <c r="R42" s="106"/>
      <c r="S42" s="106"/>
      <c r="T42" s="106">
        <f t="shared" si="15"/>
        <v>0</v>
      </c>
      <c r="U42" s="106">
        <f t="shared" si="16"/>
        <v>0</v>
      </c>
      <c r="V42" s="106">
        <f t="shared" si="20"/>
        <v>0</v>
      </c>
      <c r="W42" s="106"/>
      <c r="X42" s="106"/>
      <c r="Y42" s="106"/>
      <c r="Z42" s="106">
        <f t="shared" si="21"/>
        <v>0</v>
      </c>
      <c r="AA42" s="106">
        <f t="shared" si="17"/>
        <v>0</v>
      </c>
      <c r="AB42" s="106">
        <f t="shared" si="17"/>
        <v>0</v>
      </c>
      <c r="AC42" s="106">
        <f t="shared" si="18"/>
        <v>0</v>
      </c>
      <c r="AD42" s="106">
        <f t="shared" si="19"/>
        <v>0</v>
      </c>
      <c r="AE42" s="106">
        <f t="shared" si="6"/>
        <v>0</v>
      </c>
      <c r="AF42" s="97"/>
      <c r="AG42" s="100"/>
    </row>
    <row r="43" spans="1:34" ht="4.5" customHeight="1">
      <c r="A43" s="94"/>
      <c r="B43" s="21"/>
      <c r="C43" s="21"/>
      <c r="D43" s="21"/>
      <c r="E43" s="95"/>
      <c r="F43" s="106"/>
      <c r="G43" s="106"/>
      <c r="H43" s="106"/>
      <c r="I43" s="106"/>
      <c r="J43" s="106">
        <f t="shared" si="13"/>
        <v>0</v>
      </c>
      <c r="K43" s="106"/>
      <c r="L43" s="106"/>
      <c r="M43" s="106"/>
      <c r="N43" s="106"/>
      <c r="O43" s="106">
        <f t="shared" si="14"/>
        <v>0</v>
      </c>
      <c r="P43" s="106"/>
      <c r="Q43" s="106"/>
      <c r="R43" s="106"/>
      <c r="S43" s="106"/>
      <c r="T43" s="106">
        <f t="shared" si="15"/>
        <v>0</v>
      </c>
      <c r="U43" s="106">
        <f t="shared" si="16"/>
        <v>0</v>
      </c>
      <c r="V43" s="106">
        <f t="shared" si="20"/>
        <v>0</v>
      </c>
      <c r="W43" s="106"/>
      <c r="X43" s="106"/>
      <c r="Y43" s="106"/>
      <c r="Z43" s="106">
        <f t="shared" si="21"/>
        <v>0</v>
      </c>
      <c r="AA43" s="106">
        <f t="shared" si="17"/>
        <v>0</v>
      </c>
      <c r="AB43" s="106">
        <f t="shared" si="17"/>
        <v>0</v>
      </c>
      <c r="AC43" s="106">
        <f t="shared" si="18"/>
        <v>0</v>
      </c>
      <c r="AD43" s="106">
        <f t="shared" si="19"/>
        <v>0</v>
      </c>
      <c r="AE43" s="106">
        <f t="shared" si="6"/>
        <v>0</v>
      </c>
      <c r="AF43" s="97"/>
      <c r="AG43" s="100"/>
    </row>
    <row r="44" spans="1:34">
      <c r="A44" s="94"/>
      <c r="B44" s="21" t="s">
        <v>38</v>
      </c>
      <c r="C44" s="21"/>
      <c r="D44" s="21"/>
      <c r="E44" s="95"/>
      <c r="F44" s="106"/>
      <c r="G44" s="106"/>
      <c r="H44" s="106"/>
      <c r="I44" s="106"/>
      <c r="J44" s="106">
        <f t="shared" si="13"/>
        <v>0</v>
      </c>
      <c r="K44" s="106"/>
      <c r="L44" s="106"/>
      <c r="M44" s="106"/>
      <c r="N44" s="106"/>
      <c r="O44" s="106">
        <f t="shared" si="14"/>
        <v>0</v>
      </c>
      <c r="P44" s="106"/>
      <c r="Q44" s="106"/>
      <c r="R44" s="106"/>
      <c r="S44" s="106"/>
      <c r="T44" s="106">
        <f t="shared" si="15"/>
        <v>0</v>
      </c>
      <c r="U44" s="106">
        <f t="shared" si="16"/>
        <v>0</v>
      </c>
      <c r="V44" s="106">
        <f t="shared" si="20"/>
        <v>0</v>
      </c>
      <c r="W44" s="106"/>
      <c r="X44" s="106"/>
      <c r="Y44" s="106"/>
      <c r="Z44" s="106">
        <f t="shared" si="21"/>
        <v>0</v>
      </c>
      <c r="AA44" s="106">
        <f t="shared" si="17"/>
        <v>0</v>
      </c>
      <c r="AB44" s="106">
        <f t="shared" si="17"/>
        <v>0</v>
      </c>
      <c r="AC44" s="106">
        <f t="shared" si="18"/>
        <v>0</v>
      </c>
      <c r="AD44" s="106">
        <f t="shared" si="19"/>
        <v>0</v>
      </c>
      <c r="AE44" s="106">
        <f t="shared" si="6"/>
        <v>0</v>
      </c>
      <c r="AF44" s="97"/>
      <c r="AG44" s="100"/>
    </row>
    <row r="45" spans="1:34" ht="5.25" customHeight="1">
      <c r="A45" s="94"/>
      <c r="B45" s="21"/>
      <c r="C45" s="21"/>
      <c r="D45" s="21"/>
      <c r="E45" s="95"/>
      <c r="F45" s="106"/>
      <c r="G45" s="106"/>
      <c r="H45" s="106"/>
      <c r="I45" s="106"/>
      <c r="J45" s="106">
        <f t="shared" si="13"/>
        <v>0</v>
      </c>
      <c r="K45" s="106"/>
      <c r="L45" s="106"/>
      <c r="M45" s="106"/>
      <c r="N45" s="106"/>
      <c r="O45" s="106">
        <f t="shared" si="14"/>
        <v>0</v>
      </c>
      <c r="P45" s="106"/>
      <c r="Q45" s="106"/>
      <c r="R45" s="106"/>
      <c r="S45" s="106"/>
      <c r="T45" s="106">
        <f t="shared" si="15"/>
        <v>0</v>
      </c>
      <c r="U45" s="106">
        <f t="shared" si="16"/>
        <v>0</v>
      </c>
      <c r="V45" s="106">
        <f t="shared" si="20"/>
        <v>0</v>
      </c>
      <c r="W45" s="106"/>
      <c r="X45" s="106"/>
      <c r="Y45" s="106"/>
      <c r="Z45" s="106">
        <f t="shared" si="21"/>
        <v>0</v>
      </c>
      <c r="AA45" s="106">
        <f t="shared" ref="AA45:AB46" si="28">+F45+K45+P45+W45</f>
        <v>0</v>
      </c>
      <c r="AB45" s="106">
        <f t="shared" si="28"/>
        <v>0</v>
      </c>
      <c r="AC45" s="106">
        <f t="shared" si="18"/>
        <v>0</v>
      </c>
      <c r="AD45" s="106">
        <f t="shared" si="19"/>
        <v>0</v>
      </c>
      <c r="AE45" s="106">
        <f t="shared" si="6"/>
        <v>0</v>
      </c>
      <c r="AF45" s="97"/>
      <c r="AG45" s="100"/>
    </row>
    <row r="46" spans="1:34">
      <c r="A46" s="94"/>
      <c r="B46" s="21" t="s">
        <v>140</v>
      </c>
      <c r="C46" s="21"/>
      <c r="D46" s="21"/>
      <c r="E46" s="95"/>
      <c r="F46" s="106"/>
      <c r="G46" s="106"/>
      <c r="H46" s="106"/>
      <c r="I46" s="106"/>
      <c r="J46" s="106">
        <f t="shared" si="13"/>
        <v>0</v>
      </c>
      <c r="K46" s="106"/>
      <c r="L46" s="106"/>
      <c r="M46" s="106"/>
      <c r="N46" s="106"/>
      <c r="O46" s="106">
        <f t="shared" si="14"/>
        <v>0</v>
      </c>
      <c r="P46" s="106"/>
      <c r="Q46" s="106"/>
      <c r="R46" s="106"/>
      <c r="S46" s="106"/>
      <c r="T46" s="106">
        <f t="shared" si="15"/>
        <v>0</v>
      </c>
      <c r="U46" s="106">
        <f t="shared" si="16"/>
        <v>0</v>
      </c>
      <c r="V46" s="106">
        <f t="shared" si="20"/>
        <v>0</v>
      </c>
      <c r="W46" s="106"/>
      <c r="X46" s="106"/>
      <c r="Y46" s="106"/>
      <c r="Z46" s="106">
        <f t="shared" si="21"/>
        <v>0</v>
      </c>
      <c r="AA46" s="106">
        <f t="shared" si="28"/>
        <v>0</v>
      </c>
      <c r="AB46" s="106">
        <f t="shared" si="28"/>
        <v>0</v>
      </c>
      <c r="AC46" s="106">
        <f t="shared" si="18"/>
        <v>0</v>
      </c>
      <c r="AD46" s="106">
        <f t="shared" si="19"/>
        <v>0</v>
      </c>
      <c r="AE46" s="106">
        <f t="shared" si="6"/>
        <v>0</v>
      </c>
      <c r="AF46" s="97"/>
      <c r="AG46" s="100"/>
    </row>
    <row r="47" spans="1:34" ht="4.5" customHeight="1">
      <c r="A47" s="94"/>
      <c r="B47" s="21"/>
      <c r="C47" s="21"/>
      <c r="D47" s="21"/>
      <c r="E47" s="95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97"/>
    </row>
    <row r="48" spans="1:34" ht="15.75" thickBot="1">
      <c r="A48" s="94"/>
      <c r="B48" s="21"/>
      <c r="C48" s="110" t="s">
        <v>141</v>
      </c>
      <c r="D48" s="21"/>
      <c r="E48" s="95"/>
      <c r="F48" s="111">
        <f>+F17+F34</f>
        <v>0</v>
      </c>
      <c r="G48" s="111">
        <f>+G17+G34</f>
        <v>39951589.629999995</v>
      </c>
      <c r="H48" s="111">
        <f t="shared" ref="H48:AD48" si="29">+H17+H34</f>
        <v>0</v>
      </c>
      <c r="I48" s="111">
        <f t="shared" si="29"/>
        <v>0</v>
      </c>
      <c r="J48" s="111">
        <f t="shared" si="29"/>
        <v>39951589.629999995</v>
      </c>
      <c r="K48" s="111">
        <f t="shared" si="29"/>
        <v>0</v>
      </c>
      <c r="L48" s="111">
        <f t="shared" si="29"/>
        <v>0</v>
      </c>
      <c r="M48" s="111">
        <f t="shared" si="29"/>
        <v>0</v>
      </c>
      <c r="N48" s="111">
        <f t="shared" si="29"/>
        <v>0</v>
      </c>
      <c r="O48" s="111">
        <f t="shared" si="29"/>
        <v>0</v>
      </c>
      <c r="P48" s="111">
        <f t="shared" si="29"/>
        <v>0</v>
      </c>
      <c r="Q48" s="111">
        <f t="shared" si="29"/>
        <v>0</v>
      </c>
      <c r="R48" s="111">
        <f t="shared" si="29"/>
        <v>0</v>
      </c>
      <c r="S48" s="111">
        <f t="shared" si="29"/>
        <v>0</v>
      </c>
      <c r="T48" s="111">
        <f t="shared" si="29"/>
        <v>0</v>
      </c>
      <c r="U48" s="111">
        <f t="shared" si="29"/>
        <v>0</v>
      </c>
      <c r="V48" s="111">
        <f t="shared" si="29"/>
        <v>39950464.629999995</v>
      </c>
      <c r="W48" s="111">
        <f t="shared" si="29"/>
        <v>0</v>
      </c>
      <c r="X48" s="111">
        <f t="shared" si="29"/>
        <v>0</v>
      </c>
      <c r="Y48" s="111">
        <f t="shared" si="29"/>
        <v>0</v>
      </c>
      <c r="Z48" s="111">
        <f t="shared" si="29"/>
        <v>0</v>
      </c>
      <c r="AA48" s="111">
        <f t="shared" si="29"/>
        <v>0</v>
      </c>
      <c r="AB48" s="111">
        <f t="shared" si="29"/>
        <v>39951589.629999995</v>
      </c>
      <c r="AC48" s="111">
        <f t="shared" si="29"/>
        <v>0</v>
      </c>
      <c r="AD48" s="111">
        <f t="shared" si="29"/>
        <v>0</v>
      </c>
      <c r="AE48" s="111">
        <f>+AE17+AE34</f>
        <v>39951589.629999995</v>
      </c>
      <c r="AF48" s="112">
        <f t="shared" ref="AF48:AG48" si="30">SUM(AF19:AF46)</f>
        <v>0</v>
      </c>
      <c r="AG48" s="113">
        <f t="shared" si="30"/>
        <v>0</v>
      </c>
    </row>
    <row r="49" spans="1:32" ht="7.5" customHeight="1" thickTop="1">
      <c r="A49" s="81"/>
      <c r="B49" s="82"/>
      <c r="C49" s="82"/>
      <c r="D49" s="82"/>
      <c r="E49" s="83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</row>
    <row r="50" spans="1:32" ht="9" customHeight="1"/>
    <row r="51" spans="1:32" ht="4.5" customHeight="1"/>
    <row r="52" spans="1:32" ht="10.5" customHeight="1">
      <c r="B52" s="67"/>
      <c r="C52" s="68"/>
      <c r="D52" s="68"/>
      <c r="E52" s="68"/>
      <c r="F52" s="114"/>
      <c r="G52" s="114"/>
      <c r="H52" s="114"/>
      <c r="I52" s="114"/>
      <c r="J52" s="114"/>
      <c r="K52" s="114"/>
      <c r="L52" s="114"/>
      <c r="M52" s="115"/>
      <c r="O52" s="21"/>
      <c r="P52" s="116"/>
    </row>
    <row r="53" spans="1:32">
      <c r="B53" s="117" t="s">
        <v>142</v>
      </c>
      <c r="C53" s="21"/>
      <c r="D53" s="21"/>
      <c r="E53" s="21"/>
      <c r="F53" s="118" t="s">
        <v>143</v>
      </c>
      <c r="G53" s="118"/>
      <c r="H53" s="118"/>
      <c r="I53" s="21"/>
      <c r="J53" s="119" t="s">
        <v>144</v>
      </c>
      <c r="K53" s="119"/>
      <c r="L53" s="21"/>
      <c r="M53" s="120" t="s">
        <v>145</v>
      </c>
      <c r="O53" s="21"/>
      <c r="P53" s="21"/>
    </row>
    <row r="54" spans="1:32">
      <c r="B54" s="94" t="s">
        <v>146</v>
      </c>
      <c r="C54" s="21"/>
      <c r="D54" s="21"/>
      <c r="E54" s="21"/>
      <c r="F54" s="21"/>
      <c r="G54" s="121"/>
      <c r="H54" s="21"/>
      <c r="I54" s="21"/>
      <c r="J54" s="121"/>
      <c r="K54" s="21"/>
      <c r="L54" s="21"/>
      <c r="M54" s="95"/>
      <c r="O54" s="122"/>
      <c r="P54" s="122"/>
      <c r="AE54" s="100"/>
    </row>
    <row r="55" spans="1:32">
      <c r="B55" s="94"/>
      <c r="C55" s="21" t="s">
        <v>147</v>
      </c>
      <c r="D55" s="21"/>
      <c r="E55" s="21"/>
      <c r="F55" s="123"/>
      <c r="G55" s="122">
        <f>SUM(F56:F56)</f>
        <v>231362113.78999999</v>
      </c>
      <c r="H55" s="122"/>
      <c r="I55" s="122"/>
      <c r="J55" s="122">
        <f>SUM(I56:I56)</f>
        <v>15481378</v>
      </c>
      <c r="K55" s="122"/>
      <c r="L55" s="122"/>
      <c r="M55" s="124">
        <f>+L56</f>
        <v>246843491.78999999</v>
      </c>
      <c r="N55" s="100"/>
      <c r="O55" s="122"/>
      <c r="P55" s="122"/>
      <c r="Q55" s="100"/>
    </row>
    <row r="56" spans="1:32">
      <c r="B56" s="94"/>
      <c r="C56" s="125" t="s">
        <v>148</v>
      </c>
      <c r="D56" s="21"/>
      <c r="E56" s="21"/>
      <c r="F56" s="126">
        <f>SUM(F77:F80)+F107+F128</f>
        <v>231362113.78999999</v>
      </c>
      <c r="G56" s="122"/>
      <c r="H56" s="122"/>
      <c r="I56" s="126">
        <f>SUM(I77:I80)+I107+I128</f>
        <v>15481378</v>
      </c>
      <c r="J56" s="122"/>
      <c r="K56" s="122"/>
      <c r="L56" s="126">
        <f>+F56+I56</f>
        <v>246843491.78999999</v>
      </c>
      <c r="M56" s="124"/>
      <c r="N56" s="100"/>
      <c r="O56" s="122"/>
      <c r="P56" s="122"/>
      <c r="Q56" s="100"/>
      <c r="U56" t="s">
        <v>59</v>
      </c>
      <c r="AA56" t="s">
        <v>60</v>
      </c>
    </row>
    <row r="57" spans="1:32">
      <c r="B57" s="94"/>
      <c r="C57" s="21" t="s">
        <v>149</v>
      </c>
      <c r="D57" s="21"/>
      <c r="E57" s="21"/>
      <c r="F57" s="122"/>
      <c r="G57" s="122">
        <v>0</v>
      </c>
      <c r="H57" s="122"/>
      <c r="I57" s="122"/>
      <c r="J57" s="122">
        <v>0</v>
      </c>
      <c r="K57" s="122"/>
      <c r="L57" s="122"/>
      <c r="M57" s="124"/>
      <c r="N57" s="100"/>
      <c r="O57" s="122"/>
      <c r="P57" s="122"/>
      <c r="Q57" s="100"/>
    </row>
    <row r="58" spans="1:32">
      <c r="B58" s="94"/>
      <c r="C58" s="102" t="s">
        <v>47</v>
      </c>
      <c r="D58" s="102"/>
      <c r="E58" s="102"/>
      <c r="F58" s="127"/>
      <c r="G58" s="128">
        <f>+G82+G109+G130</f>
        <v>3825265.8699999996</v>
      </c>
      <c r="H58" s="128"/>
      <c r="I58" s="128"/>
      <c r="J58" s="128">
        <f>+J82+J109+J130</f>
        <v>418469.73</v>
      </c>
      <c r="K58" s="128"/>
      <c r="L58" s="128"/>
      <c r="M58" s="129">
        <f>+G58+J58</f>
        <v>4243735.5999999996</v>
      </c>
      <c r="N58" s="100"/>
      <c r="O58" s="122"/>
      <c r="P58" s="122"/>
      <c r="Q58" s="100"/>
      <c r="R58" s="130"/>
      <c r="U58" s="130" t="s">
        <v>150</v>
      </c>
      <c r="AA58" s="131" t="s">
        <v>151</v>
      </c>
    </row>
    <row r="59" spans="1:32">
      <c r="B59" s="94"/>
      <c r="C59" s="21" t="s">
        <v>48</v>
      </c>
      <c r="D59" s="21"/>
      <c r="E59" s="21"/>
      <c r="F59" s="123"/>
      <c r="G59" s="122">
        <v>0</v>
      </c>
      <c r="H59" s="122"/>
      <c r="I59" s="122"/>
      <c r="J59" s="122">
        <v>0</v>
      </c>
      <c r="K59" s="122"/>
      <c r="L59" s="122"/>
      <c r="M59" s="124"/>
      <c r="N59" s="100"/>
      <c r="O59" s="122"/>
      <c r="P59" s="122"/>
      <c r="Q59" s="100"/>
      <c r="U59" t="s">
        <v>61</v>
      </c>
      <c r="AA59" t="s">
        <v>152</v>
      </c>
    </row>
    <row r="60" spans="1:32">
      <c r="B60" s="94"/>
      <c r="C60" s="21" t="s">
        <v>49</v>
      </c>
      <c r="D60" s="21"/>
      <c r="E60" s="21"/>
      <c r="F60" s="123"/>
      <c r="G60" s="122">
        <v>0</v>
      </c>
      <c r="H60" s="122"/>
      <c r="I60" s="122"/>
      <c r="J60" s="122">
        <v>0</v>
      </c>
      <c r="K60" s="122"/>
      <c r="L60" s="122"/>
      <c r="M60" s="124"/>
      <c r="N60" s="100"/>
      <c r="O60" s="122"/>
      <c r="P60" s="122"/>
      <c r="Q60" s="100"/>
      <c r="U60" t="s">
        <v>153</v>
      </c>
      <c r="AA60" t="s">
        <v>62</v>
      </c>
    </row>
    <row r="61" spans="1:32">
      <c r="B61" s="94"/>
      <c r="C61" s="21" t="s">
        <v>154</v>
      </c>
      <c r="D61" s="21"/>
      <c r="E61" s="21"/>
      <c r="F61" s="123"/>
      <c r="G61" s="126">
        <v>0</v>
      </c>
      <c r="H61" s="122"/>
      <c r="I61" s="122"/>
      <c r="J61" s="126">
        <v>0</v>
      </c>
      <c r="K61" s="122"/>
      <c r="L61" s="122"/>
      <c r="M61" s="132"/>
      <c r="N61" s="100"/>
      <c r="O61" s="122"/>
      <c r="P61" s="122"/>
      <c r="Q61" s="100"/>
      <c r="AA61" t="s">
        <v>153</v>
      </c>
    </row>
    <row r="62" spans="1:32">
      <c r="B62" s="94"/>
      <c r="C62" s="21" t="s">
        <v>155</v>
      </c>
      <c r="D62" s="21"/>
      <c r="E62" s="21"/>
      <c r="F62" s="123"/>
      <c r="G62" s="122">
        <f>SUM(G55:G61)</f>
        <v>235187379.66</v>
      </c>
      <c r="H62" s="122"/>
      <c r="I62" s="122"/>
      <c r="J62" s="122">
        <f>SUM(J55:J61)</f>
        <v>15899847.73</v>
      </c>
      <c r="K62" s="122"/>
      <c r="L62" s="122"/>
      <c r="M62" s="124">
        <f>SUM(M55:M61)</f>
        <v>251087227.38999999</v>
      </c>
      <c r="N62" s="100"/>
      <c r="O62" s="122"/>
      <c r="P62" s="122"/>
      <c r="Q62" s="100"/>
    </row>
    <row r="63" spans="1:32">
      <c r="B63" s="94" t="s">
        <v>156</v>
      </c>
      <c r="C63" s="21"/>
      <c r="D63" s="21"/>
      <c r="E63" s="21"/>
      <c r="F63" s="123"/>
      <c r="G63" s="126">
        <v>0</v>
      </c>
      <c r="H63" s="122"/>
      <c r="I63" s="122"/>
      <c r="J63" s="126">
        <v>0</v>
      </c>
      <c r="K63" s="122"/>
      <c r="L63" s="122"/>
      <c r="M63" s="132">
        <v>0</v>
      </c>
      <c r="N63" s="100"/>
      <c r="O63" s="122"/>
      <c r="P63" s="122"/>
      <c r="Q63" s="100"/>
    </row>
    <row r="64" spans="1:32">
      <c r="B64" s="117" t="s">
        <v>157</v>
      </c>
      <c r="C64" s="21"/>
      <c r="D64" s="21"/>
      <c r="E64" s="21"/>
      <c r="F64" s="123"/>
      <c r="G64" s="122">
        <f>+G62-G63</f>
        <v>235187379.66</v>
      </c>
      <c r="H64" s="122"/>
      <c r="I64" s="122"/>
      <c r="J64" s="122">
        <f>+J62-J63</f>
        <v>15899847.73</v>
      </c>
      <c r="K64" s="122"/>
      <c r="L64" s="122"/>
      <c r="M64" s="124">
        <f>+M62-M63</f>
        <v>251087227.38999999</v>
      </c>
      <c r="N64" s="100"/>
      <c r="O64" s="122"/>
      <c r="P64" s="122"/>
      <c r="Q64" s="100"/>
    </row>
    <row r="65" spans="2:18">
      <c r="B65" s="94" t="s">
        <v>158</v>
      </c>
      <c r="C65" s="21" t="s">
        <v>159</v>
      </c>
      <c r="D65" s="21"/>
      <c r="E65" s="21"/>
      <c r="F65" s="123"/>
      <c r="G65" s="122">
        <f>SUM(G89:G92)+G116+G137</f>
        <v>-29007822.029999997</v>
      </c>
      <c r="H65" s="122"/>
      <c r="I65" s="122"/>
      <c r="J65" s="122">
        <f>SUM(J89:J92)+J116+J137</f>
        <v>-98154633.319999993</v>
      </c>
      <c r="K65" s="122"/>
      <c r="L65" s="122"/>
      <c r="M65" s="124">
        <f>+G65+J65</f>
        <v>-127162455.34999999</v>
      </c>
      <c r="N65" s="100"/>
      <c r="O65" s="122"/>
      <c r="P65" s="122"/>
      <c r="Q65" s="100"/>
    </row>
    <row r="66" spans="2:18">
      <c r="B66" s="94"/>
      <c r="C66" s="21" t="s">
        <v>160</v>
      </c>
      <c r="D66" s="21"/>
      <c r="E66" s="21"/>
      <c r="F66" s="123"/>
      <c r="G66" s="126">
        <f>+G93+G117+G138</f>
        <v>-68314303.909999996</v>
      </c>
      <c r="H66" s="122"/>
      <c r="I66" s="122"/>
      <c r="J66" s="126">
        <f>+J93+J117+J138</f>
        <v>-39951589.630000003</v>
      </c>
      <c r="K66" s="122"/>
      <c r="L66" s="122"/>
      <c r="M66" s="132">
        <f>+G66+J66</f>
        <v>-108265893.53999999</v>
      </c>
      <c r="N66" s="100"/>
      <c r="O66" s="122"/>
      <c r="P66" s="122"/>
      <c r="Q66" s="100"/>
    </row>
    <row r="67" spans="2:18">
      <c r="B67" s="117" t="s">
        <v>161</v>
      </c>
      <c r="C67" s="110"/>
      <c r="D67" s="110"/>
      <c r="E67" s="110"/>
      <c r="F67" s="133"/>
      <c r="G67" s="134">
        <f>SUM(G64:G66)</f>
        <v>137865253.72</v>
      </c>
      <c r="H67" s="135"/>
      <c r="I67" s="135"/>
      <c r="J67" s="134">
        <f>SUM(J64:J66)</f>
        <v>-122206375.22</v>
      </c>
      <c r="K67" s="135"/>
      <c r="L67" s="135"/>
      <c r="M67" s="136">
        <f>SUM(M64:M66)</f>
        <v>15658878.5</v>
      </c>
      <c r="N67" s="100"/>
      <c r="O67" s="122"/>
      <c r="P67" s="122"/>
      <c r="Q67" s="100"/>
    </row>
    <row r="68" spans="2:18" ht="24.75" customHeight="1">
      <c r="B68" s="94" t="s">
        <v>162</v>
      </c>
      <c r="C68" s="110"/>
      <c r="D68" s="110"/>
      <c r="E68" s="110"/>
      <c r="F68" s="133"/>
      <c r="G68" s="135">
        <f>SUM(G95:G98)+G119+G140</f>
        <v>215790285.5236842</v>
      </c>
      <c r="H68" s="135"/>
      <c r="I68" s="135"/>
      <c r="J68" s="135">
        <f>SUM(J95:J98)+J119+J140</f>
        <v>12987470.263157895</v>
      </c>
      <c r="K68" s="135"/>
      <c r="L68" s="135"/>
      <c r="M68" s="137">
        <f>+G68+J68</f>
        <v>228777755.78684211</v>
      </c>
      <c r="N68" s="138"/>
      <c r="O68" s="128"/>
      <c r="P68" s="128"/>
      <c r="Q68" s="100"/>
    </row>
    <row r="69" spans="2:18">
      <c r="B69" s="94" t="s">
        <v>163</v>
      </c>
      <c r="C69" s="110"/>
      <c r="D69" s="110"/>
      <c r="E69" s="110"/>
      <c r="F69" s="133"/>
      <c r="G69" s="139">
        <f>+G66</f>
        <v>-68314303.909999996</v>
      </c>
      <c r="H69" s="139"/>
      <c r="I69" s="139"/>
      <c r="J69" s="139">
        <f>+J66</f>
        <v>-39951589.630000003</v>
      </c>
      <c r="K69" s="139"/>
      <c r="L69" s="139"/>
      <c r="M69" s="140">
        <f>+M66</f>
        <v>-108265893.53999999</v>
      </c>
      <c r="N69" s="100"/>
      <c r="O69" s="122"/>
      <c r="P69" s="122"/>
      <c r="Q69" s="100"/>
    </row>
    <row r="70" spans="2:18">
      <c r="B70" s="94" t="s">
        <v>164</v>
      </c>
      <c r="C70" s="110"/>
      <c r="D70" s="110"/>
      <c r="E70" s="110"/>
      <c r="F70" s="133"/>
      <c r="G70" s="134">
        <f>+G68+G69</f>
        <v>147475981.61368421</v>
      </c>
      <c r="H70" s="135"/>
      <c r="I70" s="135"/>
      <c r="J70" s="134">
        <f>+J68+J69</f>
        <v>-26964119.366842106</v>
      </c>
      <c r="K70" s="135"/>
      <c r="L70" s="135"/>
      <c r="M70" s="136">
        <f>+M68+M69</f>
        <v>120511862.24684212</v>
      </c>
      <c r="N70" s="100"/>
      <c r="O70" s="122"/>
      <c r="P70" s="122"/>
      <c r="Q70" s="100"/>
    </row>
    <row r="71" spans="2:18" ht="3" customHeight="1">
      <c r="B71" s="81"/>
      <c r="C71" s="82"/>
      <c r="D71" s="82"/>
      <c r="E71" s="82"/>
      <c r="F71" s="82"/>
      <c r="G71" s="126"/>
      <c r="H71" s="126"/>
      <c r="I71" s="126"/>
      <c r="J71" s="126"/>
      <c r="K71" s="126"/>
      <c r="L71" s="126"/>
      <c r="M71" s="132"/>
      <c r="N71" s="100"/>
      <c r="O71" s="122"/>
      <c r="P71" s="122"/>
      <c r="Q71" s="100"/>
    </row>
    <row r="72" spans="2:18">
      <c r="G72" s="66"/>
      <c r="J72" s="66"/>
      <c r="K72" s="66"/>
      <c r="L72" s="66"/>
      <c r="M72" s="66"/>
      <c r="N72" s="100"/>
      <c r="O72" s="122"/>
      <c r="P72" s="122"/>
      <c r="Q72" s="100"/>
    </row>
    <row r="73" spans="2:18">
      <c r="B73" s="67"/>
      <c r="C73" s="68"/>
      <c r="D73" s="68"/>
      <c r="E73" s="68"/>
      <c r="F73" s="114" t="s">
        <v>165</v>
      </c>
      <c r="G73" s="114"/>
      <c r="H73" s="114"/>
      <c r="I73" s="114"/>
      <c r="J73" s="114"/>
      <c r="K73" s="114"/>
      <c r="L73" s="114"/>
      <c r="M73" s="115"/>
      <c r="N73" s="100"/>
      <c r="O73" s="122"/>
      <c r="P73" s="122"/>
      <c r="Q73" s="100"/>
    </row>
    <row r="74" spans="2:18">
      <c r="B74" s="117" t="s">
        <v>166</v>
      </c>
      <c r="C74" s="21"/>
      <c r="D74" s="21"/>
      <c r="E74" s="21"/>
      <c r="F74" s="118" t="s">
        <v>167</v>
      </c>
      <c r="G74" s="118"/>
      <c r="H74" s="118"/>
      <c r="I74" s="21"/>
      <c r="J74" s="119" t="s">
        <v>144</v>
      </c>
      <c r="K74" s="119"/>
      <c r="L74" s="21"/>
      <c r="M74" s="120" t="s">
        <v>145</v>
      </c>
      <c r="N74" s="100"/>
      <c r="O74" s="122"/>
      <c r="P74" s="122"/>
      <c r="Q74" s="100"/>
    </row>
    <row r="75" spans="2:18">
      <c r="B75" s="94" t="s">
        <v>146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95"/>
      <c r="N75" s="100"/>
      <c r="O75" s="122"/>
      <c r="P75" s="122"/>
      <c r="Q75" s="100"/>
    </row>
    <row r="76" spans="2:18">
      <c r="B76" s="94"/>
      <c r="C76" s="21" t="s">
        <v>147</v>
      </c>
      <c r="D76" s="21"/>
      <c r="E76" s="21"/>
      <c r="F76" s="123"/>
      <c r="G76" s="122">
        <f>SUM(F77:F80)</f>
        <v>187677004</v>
      </c>
      <c r="H76" s="122"/>
      <c r="I76" s="122"/>
      <c r="J76" s="122">
        <f>SUM(I77:I80)</f>
        <v>15481378</v>
      </c>
      <c r="K76" s="122"/>
      <c r="L76" s="122"/>
      <c r="M76" s="124">
        <f>SUM(L77:L80)</f>
        <v>203158382</v>
      </c>
      <c r="N76" s="100"/>
      <c r="O76" s="122"/>
      <c r="P76" s="122"/>
      <c r="Q76" s="100"/>
    </row>
    <row r="77" spans="2:18">
      <c r="B77" s="94"/>
      <c r="C77" s="125" t="s">
        <v>168</v>
      </c>
      <c r="D77" s="21"/>
      <c r="E77" s="21"/>
      <c r="F77" s="122">
        <f>2250218+828233+828234+828234+828234+1357984+866233+866233+866234+3868070</f>
        <v>13387907</v>
      </c>
      <c r="G77" s="122"/>
      <c r="H77" s="122"/>
      <c r="I77" s="141">
        <v>139484</v>
      </c>
      <c r="J77" s="122"/>
      <c r="K77" s="122"/>
      <c r="L77" s="122">
        <f>+F77+I77</f>
        <v>13527391</v>
      </c>
      <c r="M77" s="124"/>
      <c r="N77" s="100"/>
      <c r="O77" s="122"/>
      <c r="P77" s="122"/>
      <c r="Q77" s="100"/>
      <c r="R77" s="100"/>
    </row>
    <row r="78" spans="2:18">
      <c r="B78" s="94"/>
      <c r="C78" s="125" t="s">
        <v>169</v>
      </c>
      <c r="D78" s="21"/>
      <c r="E78" s="21"/>
      <c r="F78" s="122">
        <f>40030011+7274858+1916959+1856959+2276959+11566685</f>
        <v>64922431</v>
      </c>
      <c r="G78" s="122"/>
      <c r="H78" s="122"/>
      <c r="I78" s="141">
        <v>4058560</v>
      </c>
      <c r="J78" s="122"/>
      <c r="K78" s="122"/>
      <c r="L78" s="122">
        <f>+F78+I78</f>
        <v>68980991</v>
      </c>
      <c r="M78" s="124"/>
      <c r="N78" s="100"/>
      <c r="O78" s="122"/>
      <c r="P78" s="122"/>
      <c r="Q78" s="100"/>
      <c r="R78" s="100"/>
    </row>
    <row r="79" spans="2:18">
      <c r="B79" s="94"/>
      <c r="C79" s="125" t="s">
        <v>170</v>
      </c>
      <c r="D79" s="21"/>
      <c r="E79" s="21"/>
      <c r="F79" s="122">
        <f>3400000+4533333+4533333</f>
        <v>12466666</v>
      </c>
      <c r="G79" s="122"/>
      <c r="H79" s="122"/>
      <c r="I79" s="141">
        <v>3683334</v>
      </c>
      <c r="J79" s="122"/>
      <c r="K79" s="122"/>
      <c r="L79" s="122">
        <f>+F79+I79</f>
        <v>16150000</v>
      </c>
      <c r="M79" s="124"/>
      <c r="N79" s="100"/>
      <c r="O79" s="122"/>
      <c r="P79" s="122"/>
      <c r="Q79" s="100"/>
      <c r="R79" s="100"/>
    </row>
    <row r="80" spans="2:18">
      <c r="B80" s="94"/>
      <c r="C80" s="125" t="s">
        <v>171</v>
      </c>
      <c r="D80" s="21"/>
      <c r="E80" s="21"/>
      <c r="F80" s="126">
        <f>0+49400000+47500000</f>
        <v>96900000</v>
      </c>
      <c r="G80" s="122"/>
      <c r="H80" s="122"/>
      <c r="I80" s="142">
        <v>7600000</v>
      </c>
      <c r="J80" s="122"/>
      <c r="K80" s="122"/>
      <c r="L80" s="126">
        <f>+F80+I80</f>
        <v>104500000</v>
      </c>
      <c r="M80" s="124"/>
      <c r="N80" s="100"/>
      <c r="O80" s="122"/>
      <c r="P80" s="122"/>
      <c r="Q80" s="100"/>
      <c r="R80" s="100"/>
    </row>
    <row r="81" spans="2:21">
      <c r="B81" s="94"/>
      <c r="C81" s="21" t="s">
        <v>149</v>
      </c>
      <c r="D81" s="21"/>
      <c r="E81" s="21"/>
      <c r="F81" s="122"/>
      <c r="G81" s="122">
        <v>0</v>
      </c>
      <c r="H81" s="122"/>
      <c r="I81" s="122"/>
      <c r="J81" s="122">
        <v>0</v>
      </c>
      <c r="K81" s="122"/>
      <c r="L81" s="122"/>
      <c r="M81" s="124"/>
      <c r="N81" s="100"/>
      <c r="O81" s="122"/>
      <c r="P81" s="122"/>
      <c r="Q81" s="100"/>
      <c r="R81" s="143"/>
      <c r="S81" s="143"/>
      <c r="T81" s="143"/>
      <c r="U81" s="144"/>
    </row>
    <row r="82" spans="2:21">
      <c r="B82" s="94"/>
      <c r="C82" s="102" t="s">
        <v>47</v>
      </c>
      <c r="D82" s="102"/>
      <c r="E82" s="102"/>
      <c r="F82" s="127"/>
      <c r="G82" s="128">
        <f>85414.77+240354.71+1704886.31+197401.44+106330.6+246959.75+89317.05+1043123.72</f>
        <v>3713788.3499999996</v>
      </c>
      <c r="H82" s="128"/>
      <c r="I82" s="128"/>
      <c r="J82" s="128">
        <f>+AE35+AE36+AE37+AE38</f>
        <v>418469.73</v>
      </c>
      <c r="K82" s="128"/>
      <c r="L82" s="128"/>
      <c r="M82" s="129">
        <f>+G82+J82</f>
        <v>4132258.0799999996</v>
      </c>
      <c r="N82" s="100"/>
      <c r="O82" s="122"/>
      <c r="P82" s="122"/>
      <c r="Q82" s="100"/>
      <c r="R82" s="143"/>
      <c r="S82" s="143"/>
      <c r="T82" s="143"/>
      <c r="U82" s="144"/>
    </row>
    <row r="83" spans="2:21">
      <c r="B83" s="94"/>
      <c r="C83" s="21" t="s">
        <v>48</v>
      </c>
      <c r="D83" s="21"/>
      <c r="E83" s="21"/>
      <c r="F83" s="123"/>
      <c r="G83" s="122">
        <v>0</v>
      </c>
      <c r="H83" s="122"/>
      <c r="I83" s="122"/>
      <c r="J83" s="122">
        <v>0</v>
      </c>
      <c r="K83" s="122"/>
      <c r="L83" s="122"/>
      <c r="M83" s="124"/>
      <c r="N83" s="100"/>
      <c r="O83" s="122"/>
      <c r="P83" s="122"/>
      <c r="Q83" s="100"/>
      <c r="R83" s="143"/>
      <c r="S83" s="143"/>
      <c r="T83" s="143"/>
      <c r="U83" s="144"/>
    </row>
    <row r="84" spans="2:21">
      <c r="B84" s="94"/>
      <c r="C84" s="21" t="s">
        <v>49</v>
      </c>
      <c r="D84" s="21"/>
      <c r="E84" s="21"/>
      <c r="F84" s="123"/>
      <c r="G84" s="122">
        <v>0</v>
      </c>
      <c r="H84" s="122"/>
      <c r="I84" s="122"/>
      <c r="J84" s="122">
        <v>0</v>
      </c>
      <c r="K84" s="122"/>
      <c r="L84" s="122"/>
      <c r="M84" s="124"/>
      <c r="N84" s="100"/>
      <c r="O84" s="122"/>
      <c r="P84" s="122"/>
      <c r="Q84" s="100"/>
      <c r="R84" s="143"/>
      <c r="S84" s="143"/>
      <c r="T84" s="143"/>
      <c r="U84" s="144"/>
    </row>
    <row r="85" spans="2:21">
      <c r="B85" s="94"/>
      <c r="C85" s="21" t="s">
        <v>154</v>
      </c>
      <c r="D85" s="21"/>
      <c r="E85" s="21"/>
      <c r="F85" s="123"/>
      <c r="G85" s="126">
        <v>0</v>
      </c>
      <c r="H85" s="122"/>
      <c r="I85" s="122"/>
      <c r="J85" s="126">
        <v>0</v>
      </c>
      <c r="K85" s="122"/>
      <c r="L85" s="122"/>
      <c r="M85" s="132"/>
      <c r="N85" s="100"/>
      <c r="O85" s="122"/>
      <c r="P85" s="122"/>
      <c r="Q85" s="100"/>
      <c r="R85" s="143"/>
      <c r="S85" s="143"/>
      <c r="T85" s="143"/>
      <c r="U85" s="144"/>
    </row>
    <row r="86" spans="2:21">
      <c r="B86" s="94"/>
      <c r="C86" s="21" t="s">
        <v>155</v>
      </c>
      <c r="D86" s="21"/>
      <c r="E86" s="21"/>
      <c r="F86" s="123"/>
      <c r="G86" s="122">
        <f>SUM(G76:G85)</f>
        <v>191390792.34999999</v>
      </c>
      <c r="H86" s="122"/>
      <c r="I86" s="122"/>
      <c r="J86" s="122">
        <f>SUM(J76:J85)</f>
        <v>15899847.73</v>
      </c>
      <c r="K86" s="122"/>
      <c r="L86" s="122"/>
      <c r="M86" s="124">
        <f>SUM(M76:M85)</f>
        <v>207290640.08000001</v>
      </c>
      <c r="N86" s="100"/>
      <c r="O86" s="122"/>
      <c r="P86" s="122"/>
      <c r="Q86" s="100"/>
      <c r="R86" s="143"/>
      <c r="S86" s="143"/>
      <c r="T86" s="143"/>
      <c r="U86" s="144"/>
    </row>
    <row r="87" spans="2:21">
      <c r="B87" s="94" t="s">
        <v>156</v>
      </c>
      <c r="C87" s="21"/>
      <c r="D87" s="21"/>
      <c r="E87" s="21"/>
      <c r="F87" s="123"/>
      <c r="G87" s="126">
        <v>0</v>
      </c>
      <c r="H87" s="122"/>
      <c r="I87" s="122"/>
      <c r="J87" s="126">
        <v>0</v>
      </c>
      <c r="K87" s="122"/>
      <c r="L87" s="122"/>
      <c r="M87" s="132">
        <v>0</v>
      </c>
      <c r="N87" s="100"/>
      <c r="O87" s="122"/>
      <c r="P87" s="122"/>
      <c r="Q87" s="100"/>
      <c r="R87" s="143"/>
      <c r="S87" s="143"/>
      <c r="T87" s="143"/>
      <c r="U87" s="144"/>
    </row>
    <row r="88" spans="2:21">
      <c r="B88" s="117" t="s">
        <v>157</v>
      </c>
      <c r="C88" s="21"/>
      <c r="D88" s="21"/>
      <c r="E88" s="21"/>
      <c r="F88" s="123"/>
      <c r="G88" s="122">
        <f>+G86-G87</f>
        <v>191390792.34999999</v>
      </c>
      <c r="H88" s="122"/>
      <c r="I88" s="122"/>
      <c r="J88" s="122">
        <f>+J86-J87</f>
        <v>15899847.73</v>
      </c>
      <c r="K88" s="122"/>
      <c r="L88" s="122"/>
      <c r="M88" s="124">
        <f>+M86-M87</f>
        <v>207290640.08000001</v>
      </c>
      <c r="N88" s="100"/>
      <c r="O88" s="122"/>
      <c r="P88" s="122"/>
      <c r="Q88" s="100"/>
      <c r="R88" s="143"/>
      <c r="S88" s="143"/>
      <c r="T88" s="143"/>
      <c r="U88" s="144"/>
    </row>
    <row r="89" spans="2:21">
      <c r="B89" s="94" t="s">
        <v>158</v>
      </c>
      <c r="C89" s="21" t="s">
        <v>172</v>
      </c>
      <c r="D89" s="21"/>
      <c r="E89" s="21"/>
      <c r="F89" s="123"/>
      <c r="G89" s="122">
        <f>-2599816.58-437177.3</f>
        <v>-3036993.88</v>
      </c>
      <c r="H89" s="122"/>
      <c r="I89" s="122"/>
      <c r="J89" s="122">
        <f>-(866234+866234+139484+3001836-128544.18-634504.15-1165806.68)</f>
        <v>-2944932.99</v>
      </c>
      <c r="K89" s="122"/>
      <c r="L89" s="122"/>
      <c r="M89" s="124">
        <f>+G89+J89</f>
        <v>-5981926.8700000001</v>
      </c>
      <c r="N89" s="100"/>
      <c r="O89" s="122"/>
      <c r="P89" s="122"/>
      <c r="Q89" s="100"/>
      <c r="R89" s="143"/>
      <c r="S89" s="143"/>
      <c r="T89" s="143"/>
      <c r="U89" s="144"/>
    </row>
    <row r="90" spans="2:21">
      <c r="B90" s="94"/>
      <c r="C90" s="21" t="s">
        <v>173</v>
      </c>
      <c r="D90" s="21"/>
      <c r="E90" s="21"/>
      <c r="F90" s="123"/>
      <c r="G90" s="122">
        <f>-20367761.38-759735.25</f>
        <v>-21127496.629999999</v>
      </c>
      <c r="H90" s="122"/>
      <c r="I90" s="122"/>
      <c r="J90" s="122">
        <f>-(11566685+4058560-7857352.5-1665008.98-1125)</f>
        <v>-6101758.5199999996</v>
      </c>
      <c r="K90" s="122"/>
      <c r="L90" s="122"/>
      <c r="M90" s="129">
        <f>+G90+J90</f>
        <v>-27229255.149999999</v>
      </c>
      <c r="N90" s="100"/>
      <c r="O90" s="122"/>
      <c r="P90" s="122"/>
      <c r="Q90" s="100"/>
      <c r="R90" s="145"/>
      <c r="S90" s="145"/>
      <c r="T90" s="145"/>
      <c r="U90" s="144"/>
    </row>
    <row r="91" spans="2:21">
      <c r="B91" s="94"/>
      <c r="C91" s="21" t="s">
        <v>174</v>
      </c>
      <c r="D91" s="21"/>
      <c r="E91" s="21"/>
      <c r="F91" s="123"/>
      <c r="G91" s="122">
        <v>-3400000</v>
      </c>
      <c r="H91" s="122"/>
      <c r="I91" s="122"/>
      <c r="J91" s="122">
        <f>-(4533333+4533333+3683334)</f>
        <v>-12750000</v>
      </c>
      <c r="K91" s="122"/>
      <c r="L91" s="122"/>
      <c r="M91" s="129">
        <f>+G91+J91</f>
        <v>-16150000</v>
      </c>
      <c r="N91" s="100"/>
      <c r="O91" s="122"/>
      <c r="P91" s="122"/>
      <c r="Q91" s="100"/>
      <c r="R91" s="145"/>
      <c r="S91" s="145"/>
      <c r="T91" s="145"/>
      <c r="U91" s="144"/>
    </row>
    <row r="92" spans="2:21">
      <c r="B92" s="94"/>
      <c r="C92" s="21" t="s">
        <v>175</v>
      </c>
      <c r="D92" s="21"/>
      <c r="E92" s="21"/>
      <c r="F92" s="123"/>
      <c r="G92" s="122">
        <v>0</v>
      </c>
      <c r="H92" s="122"/>
      <c r="I92" s="122"/>
      <c r="J92" s="122">
        <f>-(49400000+47500000+7600000-29286705.19)</f>
        <v>-75213294.810000002</v>
      </c>
      <c r="K92" s="122"/>
      <c r="L92" s="122"/>
      <c r="M92" s="129">
        <f>+G92+J92</f>
        <v>-75213294.810000002</v>
      </c>
      <c r="N92" s="100"/>
      <c r="O92" s="122"/>
      <c r="P92" s="122"/>
      <c r="Q92" s="100"/>
      <c r="R92" s="145"/>
      <c r="S92" s="145"/>
      <c r="T92" s="145"/>
      <c r="U92" s="144"/>
    </row>
    <row r="93" spans="2:21">
      <c r="B93" s="146"/>
      <c r="C93" s="102" t="s">
        <v>160</v>
      </c>
      <c r="D93" s="102"/>
      <c r="E93" s="102"/>
      <c r="F93" s="127"/>
      <c r="G93" s="147">
        <f>-215914.77-9312691.17-22402493.89-861187.1-1612408.43-0.01-6021510.7-217861.23-9534980.37</f>
        <v>-50179047.669999994</v>
      </c>
      <c r="H93" s="128"/>
      <c r="I93" s="128"/>
      <c r="J93" s="147">
        <f>-AE20-AE21-AE22-AE23-AE35-AE36-AE37-AE38-AE28</f>
        <v>-32537115.580000002</v>
      </c>
      <c r="K93" s="128"/>
      <c r="L93" s="128"/>
      <c r="M93" s="148">
        <f>+G93+J93</f>
        <v>-82716163.25</v>
      </c>
      <c r="N93" s="138"/>
      <c r="O93" s="128"/>
      <c r="P93" s="128"/>
      <c r="Q93" s="100"/>
      <c r="R93" s="143"/>
      <c r="S93" s="143"/>
      <c r="T93" s="143"/>
      <c r="U93" s="144"/>
    </row>
    <row r="94" spans="2:21">
      <c r="B94" s="117" t="s">
        <v>161</v>
      </c>
      <c r="C94" s="110"/>
      <c r="D94" s="110"/>
      <c r="E94" s="110"/>
      <c r="F94" s="133"/>
      <c r="G94" s="134">
        <f>SUM(G88:G93)</f>
        <v>113647254.17000002</v>
      </c>
      <c r="H94" s="135"/>
      <c r="I94" s="135"/>
      <c r="J94" s="134">
        <f>SUM(J88:J93)</f>
        <v>-113647254.17</v>
      </c>
      <c r="K94" s="135"/>
      <c r="L94" s="135"/>
      <c r="M94" s="136">
        <f>SUM(M88:M93)</f>
        <v>0</v>
      </c>
      <c r="N94" s="100"/>
      <c r="O94" s="122"/>
      <c r="P94" s="122"/>
      <c r="Q94" s="100"/>
      <c r="R94" s="143"/>
      <c r="S94" s="143"/>
      <c r="T94" s="143"/>
      <c r="U94" s="144"/>
    </row>
    <row r="95" spans="2:21" ht="26.25" customHeight="1">
      <c r="B95" s="94" t="s">
        <v>176</v>
      </c>
      <c r="C95" s="110"/>
      <c r="D95" s="110"/>
      <c r="E95" s="110"/>
      <c r="F95" s="133"/>
      <c r="G95" s="135">
        <f>40030011+7274858+1916959+1856959+2276959</f>
        <v>53355746</v>
      </c>
      <c r="H95" s="135"/>
      <c r="I95" s="135"/>
      <c r="J95" s="149">
        <f>11566685-11566685</f>
        <v>0</v>
      </c>
      <c r="K95" s="135"/>
      <c r="L95" s="135"/>
      <c r="M95" s="150">
        <f>+G95+J95</f>
        <v>53355746</v>
      </c>
      <c r="N95" s="100"/>
      <c r="O95" s="122"/>
      <c r="P95" s="122"/>
      <c r="Q95" s="100"/>
      <c r="R95" s="143"/>
      <c r="S95" s="143"/>
      <c r="T95" s="143"/>
      <c r="U95" s="144"/>
    </row>
    <row r="96" spans="2:21" ht="13.5" customHeight="1">
      <c r="B96" s="94" t="s">
        <v>177</v>
      </c>
      <c r="C96" s="110"/>
      <c r="D96" s="110"/>
      <c r="E96" s="110"/>
      <c r="F96" s="133"/>
      <c r="G96" s="135">
        <f>+(3078451+2484702+2484700+828234)/0.95+871825.26</f>
        <v>10215074.73368421</v>
      </c>
      <c r="H96" s="135"/>
      <c r="I96" s="135"/>
      <c r="J96" s="149">
        <f>828234/0.95</f>
        <v>871825.26315789483</v>
      </c>
      <c r="K96" s="135"/>
      <c r="L96" s="135"/>
      <c r="M96" s="150">
        <f>+G96+J96</f>
        <v>11086899.996842105</v>
      </c>
      <c r="N96" s="100"/>
      <c r="O96" s="122"/>
      <c r="P96" s="122"/>
      <c r="Q96" s="149"/>
      <c r="R96" s="143"/>
      <c r="S96" s="143"/>
      <c r="T96" s="143"/>
      <c r="U96" s="144"/>
    </row>
    <row r="97" spans="2:22" ht="13.5" customHeight="1">
      <c r="B97" s="94" t="s">
        <v>178</v>
      </c>
      <c r="C97" s="110"/>
      <c r="D97" s="110"/>
      <c r="E97" s="110"/>
      <c r="F97" s="133"/>
      <c r="G97" s="135">
        <f>3400000+4533333+4533333</f>
        <v>12466666</v>
      </c>
      <c r="H97" s="135"/>
      <c r="I97" s="135"/>
      <c r="J97" s="149">
        <v>3683334</v>
      </c>
      <c r="K97" s="135"/>
      <c r="L97" s="135"/>
      <c r="M97" s="150">
        <f>+G97+J97</f>
        <v>16150000</v>
      </c>
      <c r="N97" s="100"/>
      <c r="O97" s="122"/>
      <c r="P97" s="122"/>
      <c r="Q97" s="149"/>
      <c r="R97" s="143"/>
      <c r="S97" s="143"/>
      <c r="T97" s="143"/>
      <c r="U97" s="144"/>
    </row>
    <row r="98" spans="2:22" ht="15.75" customHeight="1">
      <c r="B98" s="94" t="s">
        <v>179</v>
      </c>
      <c r="C98" s="110"/>
      <c r="D98" s="110"/>
      <c r="E98" s="110"/>
      <c r="F98" s="133"/>
      <c r="G98" s="135">
        <f>49400000+47500000</f>
        <v>96900000</v>
      </c>
      <c r="H98" s="135"/>
      <c r="I98" s="135"/>
      <c r="J98" s="149">
        <v>7600000</v>
      </c>
      <c r="K98" s="135"/>
      <c r="L98" s="135"/>
      <c r="M98" s="150">
        <f>+G98+J98</f>
        <v>104500000</v>
      </c>
      <c r="N98" s="100"/>
      <c r="O98" s="122"/>
      <c r="P98" s="122"/>
      <c r="Q98" s="149"/>
      <c r="R98" s="143"/>
      <c r="S98" s="143"/>
      <c r="T98" s="143"/>
      <c r="U98" s="144"/>
    </row>
    <row r="99" spans="2:22">
      <c r="B99" s="94" t="s">
        <v>163</v>
      </c>
      <c r="C99" s="110"/>
      <c r="D99" s="110"/>
      <c r="E99" s="110"/>
      <c r="F99" s="133"/>
      <c r="G99" s="139">
        <f>+G93</f>
        <v>-50179047.669999994</v>
      </c>
      <c r="H99" s="139"/>
      <c r="I99" s="139"/>
      <c r="J99" s="139">
        <f>+J93</f>
        <v>-32537115.580000002</v>
      </c>
      <c r="K99" s="139"/>
      <c r="L99" s="139"/>
      <c r="M99" s="140">
        <f>+M93</f>
        <v>-82716163.25</v>
      </c>
      <c r="N99" s="100"/>
      <c r="O99" s="122"/>
      <c r="P99" s="122"/>
      <c r="Q99" s="139"/>
      <c r="R99" s="143"/>
      <c r="S99" s="143"/>
      <c r="T99" s="143"/>
      <c r="U99" s="144"/>
    </row>
    <row r="100" spans="2:22">
      <c r="B100" s="94" t="s">
        <v>164</v>
      </c>
      <c r="C100" s="110"/>
      <c r="D100" s="110"/>
      <c r="E100" s="110"/>
      <c r="F100" s="133"/>
      <c r="G100" s="134">
        <f>SUM(G95:G99)</f>
        <v>122758439.06368423</v>
      </c>
      <c r="H100" s="135"/>
      <c r="I100" s="135"/>
      <c r="J100" s="134">
        <f>SUM(J95:J99)</f>
        <v>-20381956.316842109</v>
      </c>
      <c r="K100" s="135"/>
      <c r="L100" s="135"/>
      <c r="M100" s="136">
        <f>SUM(M95:M99)</f>
        <v>102376482.74684209</v>
      </c>
      <c r="N100" s="100"/>
      <c r="O100" s="122"/>
      <c r="P100" s="122"/>
      <c r="Q100" s="100"/>
      <c r="R100" s="143"/>
      <c r="S100" s="143"/>
      <c r="T100" s="143"/>
      <c r="U100" s="144"/>
    </row>
    <row r="101" spans="2:22">
      <c r="B101" s="81"/>
      <c r="C101" s="82"/>
      <c r="D101" s="82"/>
      <c r="E101" s="82"/>
      <c r="F101" s="82"/>
      <c r="G101" s="126"/>
      <c r="H101" s="126"/>
      <c r="I101" s="126"/>
      <c r="J101" s="126"/>
      <c r="K101" s="126"/>
      <c r="L101" s="126"/>
      <c r="M101" s="132"/>
      <c r="N101" s="100"/>
      <c r="O101" s="122"/>
      <c r="P101" s="122"/>
      <c r="Q101" s="100"/>
      <c r="R101" s="143"/>
      <c r="S101" s="143"/>
      <c r="T101" s="143"/>
      <c r="U101" s="144"/>
    </row>
    <row r="102" spans="2:22">
      <c r="B102" s="151"/>
      <c r="G102" s="143"/>
      <c r="H102" s="143"/>
      <c r="I102" s="143"/>
      <c r="J102" s="143"/>
      <c r="K102" s="143"/>
      <c r="L102" s="143"/>
      <c r="M102" s="143"/>
      <c r="N102" s="100"/>
      <c r="O102" s="122"/>
      <c r="P102" s="135"/>
      <c r="Q102" s="135"/>
      <c r="R102" s="135"/>
      <c r="S102" s="149"/>
      <c r="T102" s="135"/>
      <c r="U102" s="135"/>
      <c r="V102" s="150"/>
    </row>
    <row r="103" spans="2:22">
      <c r="B103" s="67"/>
      <c r="C103" s="68"/>
      <c r="D103" s="68"/>
      <c r="E103" s="68"/>
      <c r="F103" s="114" t="s">
        <v>180</v>
      </c>
      <c r="G103" s="114"/>
      <c r="H103" s="114"/>
      <c r="I103" s="114"/>
      <c r="J103" s="114"/>
      <c r="K103" s="114"/>
      <c r="L103" s="114"/>
      <c r="M103" s="115"/>
      <c r="N103" s="100"/>
      <c r="O103" s="122"/>
      <c r="P103" s="122"/>
      <c r="Q103" s="100"/>
      <c r="R103" s="143"/>
      <c r="S103" s="143"/>
      <c r="T103" s="143"/>
      <c r="U103" s="144"/>
    </row>
    <row r="104" spans="2:22">
      <c r="B104" s="117" t="s">
        <v>166</v>
      </c>
      <c r="C104" s="21"/>
      <c r="D104" s="21"/>
      <c r="E104" s="21"/>
      <c r="F104" s="118" t="s">
        <v>181</v>
      </c>
      <c r="G104" s="118"/>
      <c r="H104" s="118"/>
      <c r="I104" s="21"/>
      <c r="J104" s="119" t="s">
        <v>182</v>
      </c>
      <c r="K104" s="119"/>
      <c r="L104" s="21"/>
      <c r="M104" s="120" t="s">
        <v>145</v>
      </c>
      <c r="N104" s="100"/>
      <c r="O104" s="122"/>
      <c r="P104" s="122"/>
      <c r="Q104" s="100"/>
      <c r="R104" s="143"/>
      <c r="S104" s="143"/>
      <c r="T104" s="143"/>
      <c r="U104" s="144"/>
    </row>
    <row r="105" spans="2:22">
      <c r="B105" s="94" t="s">
        <v>146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95"/>
      <c r="N105" s="100"/>
      <c r="O105" s="122"/>
      <c r="P105" s="122"/>
      <c r="Q105" s="100"/>
      <c r="R105" s="143"/>
      <c r="S105" s="143"/>
      <c r="T105" s="143"/>
      <c r="U105" s="144"/>
    </row>
    <row r="106" spans="2:22">
      <c r="B106" s="94"/>
      <c r="C106" s="21" t="s">
        <v>147</v>
      </c>
      <c r="D106" s="21"/>
      <c r="E106" s="21"/>
      <c r="F106" s="123"/>
      <c r="G106" s="122">
        <f>SUM(F107:F107)</f>
        <v>2834915</v>
      </c>
      <c r="H106" s="122"/>
      <c r="I106" s="122"/>
      <c r="J106" s="122">
        <f>SUM(I107:I107)</f>
        <v>0</v>
      </c>
      <c r="K106" s="122"/>
      <c r="L106" s="122"/>
      <c r="M106" s="124">
        <f>+L107</f>
        <v>2834915</v>
      </c>
      <c r="N106" s="100"/>
      <c r="O106" s="122"/>
      <c r="P106" s="122"/>
      <c r="Q106" s="100"/>
      <c r="R106" s="143"/>
      <c r="S106" s="143"/>
      <c r="T106" s="143"/>
      <c r="U106" s="144"/>
    </row>
    <row r="107" spans="2:22">
      <c r="B107" s="94"/>
      <c r="C107" s="125" t="s">
        <v>183</v>
      </c>
      <c r="D107" s="21"/>
      <c r="E107" s="21"/>
      <c r="F107" s="126">
        <f>229604+1460664+1144647</f>
        <v>2834915</v>
      </c>
      <c r="G107" s="122"/>
      <c r="H107" s="122"/>
      <c r="I107" s="142">
        <v>0</v>
      </c>
      <c r="J107" s="122"/>
      <c r="K107" s="122"/>
      <c r="L107" s="126">
        <f>+F107+I107</f>
        <v>2834915</v>
      </c>
      <c r="M107" s="124"/>
      <c r="N107" s="100"/>
      <c r="O107" s="122"/>
      <c r="P107" s="122"/>
      <c r="Q107" s="100"/>
      <c r="R107" s="143"/>
      <c r="S107" s="143"/>
      <c r="T107" s="143"/>
      <c r="U107" s="144"/>
    </row>
    <row r="108" spans="2:22">
      <c r="B108" s="94"/>
      <c r="C108" s="21" t="s">
        <v>149</v>
      </c>
      <c r="D108" s="21"/>
      <c r="E108" s="21"/>
      <c r="F108" s="122"/>
      <c r="G108" s="122">
        <v>0</v>
      </c>
      <c r="H108" s="122"/>
      <c r="I108" s="122"/>
      <c r="J108" s="122">
        <v>0</v>
      </c>
      <c r="K108" s="122"/>
      <c r="L108" s="122"/>
      <c r="M108" s="124"/>
      <c r="N108" s="100"/>
      <c r="O108" s="122"/>
      <c r="P108" s="122"/>
      <c r="Q108" s="100"/>
      <c r="R108" s="143"/>
      <c r="S108" s="143"/>
      <c r="T108" s="143"/>
      <c r="U108" s="144"/>
    </row>
    <row r="109" spans="2:22">
      <c r="B109" s="94"/>
      <c r="C109" s="102" t="s">
        <v>47</v>
      </c>
      <c r="D109" s="102"/>
      <c r="E109" s="102"/>
      <c r="F109" s="127"/>
      <c r="G109" s="128">
        <f>97500+4200.74+5839.28+3937.5</f>
        <v>111477.52</v>
      </c>
      <c r="H109" s="128"/>
      <c r="I109" s="128"/>
      <c r="J109" s="128">
        <f>+AE39</f>
        <v>0</v>
      </c>
      <c r="K109" s="128"/>
      <c r="L109" s="128"/>
      <c r="M109" s="129">
        <f>+G109+J109</f>
        <v>111477.52</v>
      </c>
      <c r="N109" s="100"/>
      <c r="O109" s="122"/>
      <c r="P109" s="122"/>
      <c r="Q109" s="100"/>
      <c r="R109" s="143"/>
      <c r="S109" s="143"/>
      <c r="T109" s="143"/>
      <c r="U109" s="144"/>
    </row>
    <row r="110" spans="2:22">
      <c r="B110" s="94"/>
      <c r="C110" s="21" t="s">
        <v>48</v>
      </c>
      <c r="D110" s="21"/>
      <c r="E110" s="21"/>
      <c r="F110" s="123"/>
      <c r="G110" s="122">
        <v>0</v>
      </c>
      <c r="H110" s="122"/>
      <c r="I110" s="122"/>
      <c r="J110" s="122">
        <v>0</v>
      </c>
      <c r="K110" s="122"/>
      <c r="L110" s="122"/>
      <c r="M110" s="124"/>
      <c r="N110" s="100"/>
      <c r="O110" s="122"/>
      <c r="P110" s="122"/>
      <c r="Q110" s="100"/>
      <c r="R110" s="143"/>
      <c r="S110" s="143"/>
      <c r="T110" s="143"/>
      <c r="U110" s="144"/>
    </row>
    <row r="111" spans="2:22">
      <c r="B111" s="94"/>
      <c r="C111" s="21" t="s">
        <v>49</v>
      </c>
      <c r="D111" s="21"/>
      <c r="E111" s="21"/>
      <c r="F111" s="123"/>
      <c r="G111" s="122">
        <v>0</v>
      </c>
      <c r="H111" s="122"/>
      <c r="I111" s="122"/>
      <c r="J111" s="122">
        <v>0</v>
      </c>
      <c r="K111" s="122"/>
      <c r="L111" s="122"/>
      <c r="M111" s="124"/>
      <c r="N111" s="100"/>
      <c r="O111" s="122"/>
      <c r="P111" s="122"/>
      <c r="Q111" s="100"/>
      <c r="R111" s="143"/>
      <c r="S111" s="143"/>
      <c r="T111" s="143"/>
      <c r="U111" s="144"/>
    </row>
    <row r="112" spans="2:22">
      <c r="B112" s="94"/>
      <c r="C112" s="21" t="s">
        <v>154</v>
      </c>
      <c r="D112" s="21"/>
      <c r="E112" s="21"/>
      <c r="F112" s="123"/>
      <c r="G112" s="126">
        <v>0</v>
      </c>
      <c r="H112" s="122"/>
      <c r="I112" s="122"/>
      <c r="J112" s="126">
        <v>0</v>
      </c>
      <c r="K112" s="122"/>
      <c r="L112" s="122"/>
      <c r="M112" s="132"/>
      <c r="N112" s="100"/>
      <c r="O112" s="122"/>
      <c r="P112" s="122"/>
      <c r="Q112" s="100"/>
      <c r="R112" s="143"/>
      <c r="S112" s="143"/>
      <c r="T112" s="143"/>
      <c r="U112" s="144"/>
    </row>
    <row r="113" spans="2:21">
      <c r="B113" s="94"/>
      <c r="C113" s="21" t="s">
        <v>155</v>
      </c>
      <c r="D113" s="21"/>
      <c r="E113" s="21"/>
      <c r="F113" s="123"/>
      <c r="G113" s="122">
        <f>SUM(G106:G112)</f>
        <v>2946392.52</v>
      </c>
      <c r="H113" s="122"/>
      <c r="I113" s="122"/>
      <c r="J113" s="122">
        <f>SUM(J106:J112)</f>
        <v>0</v>
      </c>
      <c r="K113" s="122"/>
      <c r="L113" s="122"/>
      <c r="M113" s="124">
        <f>SUM(M106:M112)</f>
        <v>2946392.52</v>
      </c>
      <c r="N113" s="100"/>
      <c r="O113" s="122"/>
      <c r="P113" s="122"/>
      <c r="Q113" s="100"/>
      <c r="R113" s="143"/>
      <c r="S113" s="143"/>
      <c r="T113" s="143"/>
      <c r="U113" s="144"/>
    </row>
    <row r="114" spans="2:21">
      <c r="B114" s="94" t="s">
        <v>156</v>
      </c>
      <c r="C114" s="21"/>
      <c r="D114" s="21"/>
      <c r="E114" s="21"/>
      <c r="F114" s="123"/>
      <c r="G114" s="126">
        <v>0</v>
      </c>
      <c r="H114" s="122"/>
      <c r="I114" s="122"/>
      <c r="J114" s="126">
        <v>0</v>
      </c>
      <c r="K114" s="122"/>
      <c r="L114" s="122"/>
      <c r="M114" s="132">
        <v>0</v>
      </c>
      <c r="N114" s="100"/>
      <c r="O114" s="122"/>
      <c r="P114" s="122"/>
      <c r="Q114" s="100"/>
      <c r="R114" s="143"/>
      <c r="S114" s="143"/>
      <c r="T114" s="143"/>
      <c r="U114" s="144"/>
    </row>
    <row r="115" spans="2:21">
      <c r="B115" s="117" t="s">
        <v>157</v>
      </c>
      <c r="C115" s="21"/>
      <c r="D115" s="21"/>
      <c r="E115" s="21"/>
      <c r="F115" s="123"/>
      <c r="G115" s="122">
        <f>+G113-G114</f>
        <v>2946392.52</v>
      </c>
      <c r="H115" s="122"/>
      <c r="I115" s="122"/>
      <c r="J115" s="122">
        <f>+J113-J114</f>
        <v>0</v>
      </c>
      <c r="K115" s="122"/>
      <c r="L115" s="122"/>
      <c r="M115" s="124">
        <f>+M113-M114</f>
        <v>2946392.52</v>
      </c>
      <c r="N115" s="100"/>
      <c r="O115" s="122"/>
      <c r="P115" s="122"/>
      <c r="Q115" s="100"/>
      <c r="R115" s="143"/>
      <c r="S115" s="143"/>
      <c r="T115" s="143"/>
      <c r="U115" s="144"/>
    </row>
    <row r="116" spans="2:21">
      <c r="B116" s="94" t="s">
        <v>158</v>
      </c>
      <c r="C116" s="21" t="s">
        <v>159</v>
      </c>
      <c r="D116" s="21"/>
      <c r="E116" s="21"/>
      <c r="F116" s="123"/>
      <c r="G116" s="122">
        <v>-1443331.52</v>
      </c>
      <c r="H116" s="122"/>
      <c r="I116" s="122"/>
      <c r="J116" s="122">
        <v>-1144647</v>
      </c>
      <c r="K116" s="122"/>
      <c r="L116" s="122"/>
      <c r="M116" s="124">
        <f>+G116+J116</f>
        <v>-2587978.52</v>
      </c>
      <c r="N116" s="100"/>
      <c r="O116" s="122"/>
      <c r="P116" s="122"/>
      <c r="Q116" s="100"/>
      <c r="R116" s="143"/>
      <c r="S116" s="143"/>
      <c r="T116" s="143"/>
      <c r="U116" s="144"/>
    </row>
    <row r="117" spans="2:21">
      <c r="B117" s="94"/>
      <c r="C117" s="21" t="s">
        <v>160</v>
      </c>
      <c r="D117" s="21"/>
      <c r="E117" s="21"/>
      <c r="F117" s="123"/>
      <c r="G117" s="126">
        <f>-97500-181574.72+103160.72-178562.5-3937.5</f>
        <v>-358414</v>
      </c>
      <c r="H117" s="122"/>
      <c r="I117" s="122"/>
      <c r="J117" s="126">
        <f>-AE24-AE29-AE39</f>
        <v>0</v>
      </c>
      <c r="K117" s="122"/>
      <c r="L117" s="122"/>
      <c r="M117" s="132">
        <f>+G117+J117</f>
        <v>-358414</v>
      </c>
      <c r="N117" s="100"/>
      <c r="O117" s="122"/>
      <c r="P117" s="122"/>
      <c r="Q117" s="100"/>
      <c r="R117" s="143"/>
      <c r="S117" s="143"/>
      <c r="T117" s="143"/>
      <c r="U117" s="144"/>
    </row>
    <row r="118" spans="2:21">
      <c r="B118" s="117" t="s">
        <v>161</v>
      </c>
      <c r="C118" s="110"/>
      <c r="D118" s="110"/>
      <c r="E118" s="110"/>
      <c r="F118" s="133"/>
      <c r="G118" s="134">
        <f>SUM(G115:G117)</f>
        <v>1144647</v>
      </c>
      <c r="H118" s="135"/>
      <c r="I118" s="135"/>
      <c r="J118" s="134">
        <f>SUM(J115:J117)</f>
        <v>-1144647</v>
      </c>
      <c r="K118" s="135"/>
      <c r="L118" s="135"/>
      <c r="M118" s="136">
        <f>SUM(M115:M117)</f>
        <v>0</v>
      </c>
      <c r="N118" s="100"/>
      <c r="O118" s="122"/>
      <c r="P118" s="122"/>
      <c r="Q118" s="100"/>
      <c r="R118" s="143"/>
      <c r="S118" s="143"/>
      <c r="T118" s="143"/>
      <c r="U118" s="144"/>
    </row>
    <row r="119" spans="2:21" ht="21.75" customHeight="1">
      <c r="B119" s="94" t="s">
        <v>162</v>
      </c>
      <c r="C119" s="110"/>
      <c r="D119" s="110"/>
      <c r="E119" s="110"/>
      <c r="F119" s="133"/>
      <c r="G119" s="135">
        <f>0+229604+1460664+1144647</f>
        <v>2834915</v>
      </c>
      <c r="H119" s="135"/>
      <c r="I119" s="135"/>
      <c r="J119" s="135">
        <v>0</v>
      </c>
      <c r="K119" s="135"/>
      <c r="L119" s="135"/>
      <c r="M119" s="150">
        <f>+G119+J119</f>
        <v>2834915</v>
      </c>
      <c r="N119" s="100"/>
      <c r="O119" s="122"/>
      <c r="P119" s="122"/>
      <c r="Q119" s="100"/>
      <c r="R119" s="143"/>
      <c r="S119" s="143"/>
      <c r="T119" s="143"/>
      <c r="U119" s="144"/>
    </row>
    <row r="120" spans="2:21">
      <c r="B120" s="94" t="s">
        <v>163</v>
      </c>
      <c r="C120" s="110"/>
      <c r="D120" s="110"/>
      <c r="E120" s="110"/>
      <c r="F120" s="133"/>
      <c r="G120" s="139">
        <f>+G117</f>
        <v>-358414</v>
      </c>
      <c r="H120" s="139"/>
      <c r="I120" s="139"/>
      <c r="J120" s="139">
        <f>+J117</f>
        <v>0</v>
      </c>
      <c r="K120" s="139"/>
      <c r="L120" s="139"/>
      <c r="M120" s="140">
        <f>+M117</f>
        <v>-358414</v>
      </c>
      <c r="N120" s="100"/>
      <c r="O120" s="122"/>
      <c r="P120" s="122"/>
      <c r="Q120" s="100"/>
      <c r="R120" s="143"/>
      <c r="S120" s="143"/>
      <c r="T120" s="143"/>
      <c r="U120" s="144"/>
    </row>
    <row r="121" spans="2:21">
      <c r="B121" s="94" t="s">
        <v>164</v>
      </c>
      <c r="C121" s="110"/>
      <c r="D121" s="110"/>
      <c r="E121" s="110"/>
      <c r="F121" s="133"/>
      <c r="G121" s="134">
        <f>+G119+G120</f>
        <v>2476501</v>
      </c>
      <c r="H121" s="135"/>
      <c r="I121" s="135"/>
      <c r="J121" s="134">
        <f>+J119+J120</f>
        <v>0</v>
      </c>
      <c r="K121" s="135"/>
      <c r="L121" s="135"/>
      <c r="M121" s="136">
        <f>+M119+M120</f>
        <v>2476501</v>
      </c>
      <c r="N121" s="100"/>
      <c r="O121" s="122"/>
      <c r="P121" s="122"/>
      <c r="Q121" s="100"/>
      <c r="R121" s="143"/>
      <c r="S121" s="143"/>
      <c r="T121" s="143"/>
      <c r="U121" s="144"/>
    </row>
    <row r="122" spans="2:21">
      <c r="B122" s="81"/>
      <c r="C122" s="82"/>
      <c r="D122" s="82"/>
      <c r="E122" s="82"/>
      <c r="F122" s="82"/>
      <c r="G122" s="126"/>
      <c r="H122" s="126"/>
      <c r="I122" s="126"/>
      <c r="J122" s="126"/>
      <c r="K122" s="126"/>
      <c r="L122" s="126"/>
      <c r="M122" s="132"/>
      <c r="N122" s="100"/>
      <c r="O122" s="122"/>
      <c r="P122" s="122"/>
      <c r="Q122" s="100"/>
      <c r="R122" s="143"/>
      <c r="S122" s="143"/>
      <c r="T122" s="143"/>
      <c r="U122" s="144"/>
    </row>
    <row r="123" spans="2:21">
      <c r="N123" s="100"/>
      <c r="O123" s="122"/>
      <c r="P123" s="122"/>
      <c r="Q123" s="100"/>
      <c r="R123" s="143"/>
      <c r="S123" s="143"/>
      <c r="T123" s="143"/>
      <c r="U123" s="144"/>
    </row>
    <row r="124" spans="2:21">
      <c r="B124" s="67"/>
      <c r="C124" s="68"/>
      <c r="D124" s="68"/>
      <c r="E124" s="68"/>
      <c r="F124" s="114" t="s">
        <v>184</v>
      </c>
      <c r="G124" s="114"/>
      <c r="H124" s="114"/>
      <c r="I124" s="114"/>
      <c r="J124" s="114"/>
      <c r="K124" s="114"/>
      <c r="L124" s="114"/>
      <c r="M124" s="115"/>
      <c r="N124" s="100"/>
      <c r="O124" s="122"/>
      <c r="P124" s="122"/>
      <c r="Q124" s="100"/>
      <c r="R124" s="143"/>
      <c r="S124" s="143"/>
      <c r="T124" s="143"/>
      <c r="U124" s="144"/>
    </row>
    <row r="125" spans="2:21">
      <c r="B125" s="117" t="s">
        <v>166</v>
      </c>
      <c r="C125" s="21"/>
      <c r="D125" s="21"/>
      <c r="E125" s="21"/>
      <c r="F125" s="118" t="s">
        <v>185</v>
      </c>
      <c r="G125" s="118"/>
      <c r="H125" s="118"/>
      <c r="I125" s="21"/>
      <c r="J125" s="119" t="s">
        <v>182</v>
      </c>
      <c r="K125" s="119"/>
      <c r="L125" s="21"/>
      <c r="M125" s="120" t="s">
        <v>145</v>
      </c>
      <c r="N125" s="100"/>
      <c r="O125" s="122"/>
      <c r="P125" s="122"/>
      <c r="Q125" s="100"/>
      <c r="R125" s="143"/>
      <c r="S125" s="143"/>
      <c r="T125" s="143"/>
      <c r="U125" s="144"/>
    </row>
    <row r="126" spans="2:21">
      <c r="B126" s="94" t="s">
        <v>146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95"/>
      <c r="N126" s="100"/>
      <c r="O126" s="122"/>
      <c r="P126" s="122"/>
      <c r="Q126" s="100"/>
      <c r="R126" s="143"/>
      <c r="S126" s="143"/>
      <c r="T126" s="143"/>
      <c r="U126" s="144"/>
    </row>
    <row r="127" spans="2:21">
      <c r="B127" s="94"/>
      <c r="C127" s="21" t="s">
        <v>147</v>
      </c>
      <c r="D127" s="21"/>
      <c r="E127" s="21"/>
      <c r="F127" s="123"/>
      <c r="G127" s="122">
        <f>SUM(F128:F128)</f>
        <v>40850194.789999999</v>
      </c>
      <c r="H127" s="122"/>
      <c r="I127" s="122"/>
      <c r="J127" s="122">
        <f>SUM(I128:I128)</f>
        <v>0</v>
      </c>
      <c r="K127" s="122"/>
      <c r="L127" s="122"/>
      <c r="M127" s="124">
        <f>+L128</f>
        <v>40850194.789999999</v>
      </c>
      <c r="N127" s="100"/>
      <c r="O127" s="122"/>
      <c r="P127" s="122"/>
      <c r="Q127" s="100"/>
      <c r="R127" s="143"/>
      <c r="S127" s="143"/>
      <c r="T127" s="143"/>
      <c r="U127" s="144"/>
    </row>
    <row r="128" spans="2:21">
      <c r="B128" s="94"/>
      <c r="C128" s="125" t="s">
        <v>186</v>
      </c>
      <c r="D128" s="21"/>
      <c r="E128" s="21"/>
      <c r="F128" s="126">
        <v>40850194.789999999</v>
      </c>
      <c r="G128" s="122"/>
      <c r="H128" s="122"/>
      <c r="I128" s="142">
        <v>0</v>
      </c>
      <c r="J128" s="122"/>
      <c r="K128" s="122"/>
      <c r="L128" s="126">
        <f>+F128+I128</f>
        <v>40850194.789999999</v>
      </c>
      <c r="M128" s="124"/>
      <c r="N128" s="100"/>
      <c r="O128" s="122"/>
      <c r="P128" s="122"/>
      <c r="Q128" s="100"/>
      <c r="R128" s="143"/>
      <c r="S128" s="143"/>
      <c r="T128" s="143"/>
      <c r="U128" s="144"/>
    </row>
    <row r="129" spans="2:21">
      <c r="B129" s="94"/>
      <c r="C129" s="21" t="s">
        <v>149</v>
      </c>
      <c r="D129" s="21"/>
      <c r="E129" s="21"/>
      <c r="F129" s="122"/>
      <c r="G129" s="122">
        <v>0</v>
      </c>
      <c r="H129" s="122"/>
      <c r="I129" s="122"/>
      <c r="J129" s="122">
        <v>0</v>
      </c>
      <c r="K129" s="122"/>
      <c r="L129" s="122"/>
      <c r="M129" s="124"/>
      <c r="N129" s="100"/>
      <c r="O129" s="122"/>
      <c r="P129" s="122"/>
      <c r="Q129" s="100"/>
      <c r="R129" s="143"/>
      <c r="S129" s="143"/>
      <c r="T129" s="143"/>
      <c r="U129" s="144"/>
    </row>
    <row r="130" spans="2:21">
      <c r="B130" s="94"/>
      <c r="C130" s="102" t="s">
        <v>47</v>
      </c>
      <c r="D130" s="102"/>
      <c r="E130" s="102"/>
      <c r="F130" s="127"/>
      <c r="G130" s="128">
        <v>0</v>
      </c>
      <c r="H130" s="128"/>
      <c r="I130" s="128"/>
      <c r="J130" s="128">
        <v>0</v>
      </c>
      <c r="K130" s="128"/>
      <c r="L130" s="128"/>
      <c r="M130" s="129">
        <f>+G130+J130</f>
        <v>0</v>
      </c>
      <c r="N130" s="100"/>
      <c r="O130" s="122"/>
      <c r="P130" s="122"/>
      <c r="Q130" s="100"/>
      <c r="R130" s="143"/>
      <c r="S130" s="143"/>
      <c r="T130" s="143"/>
      <c r="U130" s="144"/>
    </row>
    <row r="131" spans="2:21">
      <c r="B131" s="94"/>
      <c r="C131" s="21" t="s">
        <v>48</v>
      </c>
      <c r="D131" s="21"/>
      <c r="E131" s="21"/>
      <c r="F131" s="123"/>
      <c r="G131" s="122">
        <v>0</v>
      </c>
      <c r="H131" s="122"/>
      <c r="I131" s="122"/>
      <c r="J131" s="122">
        <v>0</v>
      </c>
      <c r="K131" s="122"/>
      <c r="L131" s="122"/>
      <c r="M131" s="124"/>
      <c r="N131" s="100"/>
      <c r="O131" s="122"/>
      <c r="P131" s="122"/>
      <c r="Q131" s="100"/>
      <c r="R131" s="143"/>
      <c r="S131" s="143"/>
      <c r="T131" s="143"/>
      <c r="U131" s="144"/>
    </row>
    <row r="132" spans="2:21">
      <c r="B132" s="94"/>
      <c r="C132" s="21" t="s">
        <v>49</v>
      </c>
      <c r="D132" s="21"/>
      <c r="E132" s="21"/>
      <c r="F132" s="123"/>
      <c r="G132" s="122">
        <v>0</v>
      </c>
      <c r="H132" s="122"/>
      <c r="I132" s="122"/>
      <c r="J132" s="122">
        <v>0</v>
      </c>
      <c r="K132" s="122"/>
      <c r="L132" s="122"/>
      <c r="M132" s="124"/>
      <c r="N132" s="100"/>
      <c r="O132" s="122"/>
      <c r="P132" s="122"/>
      <c r="Q132" s="100"/>
      <c r="R132" s="143"/>
      <c r="S132" s="143"/>
      <c r="T132" s="143"/>
      <c r="U132" s="144"/>
    </row>
    <row r="133" spans="2:21">
      <c r="B133" s="94"/>
      <c r="C133" s="21" t="s">
        <v>154</v>
      </c>
      <c r="D133" s="21"/>
      <c r="E133" s="21"/>
      <c r="F133" s="123"/>
      <c r="G133" s="126">
        <v>0</v>
      </c>
      <c r="H133" s="122"/>
      <c r="I133" s="122"/>
      <c r="J133" s="126">
        <v>0</v>
      </c>
      <c r="K133" s="122"/>
      <c r="L133" s="122"/>
      <c r="M133" s="132"/>
      <c r="N133" s="100"/>
      <c r="O133" s="122"/>
      <c r="P133" s="122"/>
      <c r="Q133" s="100"/>
      <c r="R133" s="143"/>
      <c r="S133" s="143"/>
      <c r="T133" s="143"/>
      <c r="U133" s="144"/>
    </row>
    <row r="134" spans="2:21">
      <c r="B134" s="94"/>
      <c r="C134" s="21" t="s">
        <v>155</v>
      </c>
      <c r="D134" s="21"/>
      <c r="E134" s="21"/>
      <c r="F134" s="123"/>
      <c r="G134" s="122">
        <f>SUM(G127:G133)</f>
        <v>40850194.789999999</v>
      </c>
      <c r="H134" s="122"/>
      <c r="I134" s="122"/>
      <c r="J134" s="122">
        <f>SUM(J127:J133)</f>
        <v>0</v>
      </c>
      <c r="K134" s="122"/>
      <c r="L134" s="122"/>
      <c r="M134" s="124">
        <f>SUM(M127:M133)</f>
        <v>40850194.789999999</v>
      </c>
      <c r="N134" s="100"/>
      <c r="O134" s="122"/>
      <c r="P134" s="122"/>
      <c r="Q134" s="100"/>
      <c r="R134" s="143"/>
      <c r="S134" s="143"/>
      <c r="T134" s="143"/>
      <c r="U134" s="144"/>
    </row>
    <row r="135" spans="2:21">
      <c r="B135" s="94" t="s">
        <v>156</v>
      </c>
      <c r="C135" s="21"/>
      <c r="D135" s="21"/>
      <c r="E135" s="21"/>
      <c r="F135" s="123"/>
      <c r="G135" s="126">
        <v>0</v>
      </c>
      <c r="H135" s="122"/>
      <c r="I135" s="122"/>
      <c r="J135" s="126">
        <v>0</v>
      </c>
      <c r="K135" s="122"/>
      <c r="L135" s="122"/>
      <c r="M135" s="132">
        <v>0</v>
      </c>
      <c r="N135" s="100"/>
      <c r="O135" s="122"/>
      <c r="P135" s="122"/>
      <c r="Q135" s="100"/>
      <c r="R135" s="143"/>
      <c r="S135" s="143"/>
      <c r="T135" s="143"/>
      <c r="U135" s="144"/>
    </row>
    <row r="136" spans="2:21">
      <c r="B136" s="117" t="s">
        <v>157</v>
      </c>
      <c r="C136" s="21"/>
      <c r="D136" s="21"/>
      <c r="E136" s="21"/>
      <c r="F136" s="123"/>
      <c r="G136" s="122">
        <f>+G134-G135</f>
        <v>40850194.789999999</v>
      </c>
      <c r="H136" s="122"/>
      <c r="I136" s="122"/>
      <c r="J136" s="122">
        <f>+J134-J135</f>
        <v>0</v>
      </c>
      <c r="K136" s="122"/>
      <c r="L136" s="122"/>
      <c r="M136" s="124">
        <f>+M134-M135</f>
        <v>40850194.789999999</v>
      </c>
      <c r="N136" s="100"/>
      <c r="O136" s="122"/>
      <c r="P136" s="122"/>
      <c r="Q136" s="100"/>
      <c r="R136" s="143"/>
      <c r="S136" s="143"/>
      <c r="T136" s="143"/>
      <c r="U136" s="144"/>
    </row>
    <row r="137" spans="2:21">
      <c r="B137" s="94" t="s">
        <v>158</v>
      </c>
      <c r="C137" s="21" t="s">
        <v>159</v>
      </c>
      <c r="D137" s="21"/>
      <c r="E137" s="21"/>
      <c r="F137" s="123"/>
      <c r="G137" s="122">
        <v>0</v>
      </c>
      <c r="H137" s="122"/>
      <c r="I137" s="122"/>
      <c r="J137" s="122">
        <v>0</v>
      </c>
      <c r="K137" s="122"/>
      <c r="L137" s="122"/>
      <c r="M137" s="124">
        <f>+G137+J137</f>
        <v>0</v>
      </c>
      <c r="N137" s="100"/>
      <c r="O137" s="122"/>
      <c r="P137" s="122"/>
      <c r="Q137" s="100"/>
      <c r="R137" s="143"/>
      <c r="S137" s="143"/>
      <c r="T137" s="143"/>
      <c r="U137" s="144"/>
    </row>
    <row r="138" spans="2:21">
      <c r="B138" s="94"/>
      <c r="C138" s="21" t="s">
        <v>160</v>
      </c>
      <c r="D138" s="21"/>
      <c r="E138" s="21"/>
      <c r="F138" s="123"/>
      <c r="G138" s="126">
        <f>-1328494-2374811.14-1133687.11-619397.1+619397.1-856115.09-4572274.58-2969162.98-3081521.96-1460775.38</f>
        <v>-17776842.239999998</v>
      </c>
      <c r="H138" s="122"/>
      <c r="I138" s="122"/>
      <c r="J138" s="126">
        <f>-AE25</f>
        <v>-7414474.0499999998</v>
      </c>
      <c r="K138" s="122"/>
      <c r="L138" s="122"/>
      <c r="M138" s="132">
        <f>+G138+J138</f>
        <v>-25191316.289999999</v>
      </c>
      <c r="N138" s="100"/>
      <c r="O138" s="122"/>
      <c r="P138" s="122"/>
      <c r="Q138" s="66"/>
      <c r="R138" s="143"/>
      <c r="S138" s="143"/>
      <c r="T138" s="143"/>
      <c r="U138" s="144"/>
    </row>
    <row r="139" spans="2:21">
      <c r="B139" s="117" t="s">
        <v>161</v>
      </c>
      <c r="C139" s="110"/>
      <c r="D139" s="110"/>
      <c r="E139" s="110"/>
      <c r="F139" s="133"/>
      <c r="G139" s="134">
        <f>SUM(G136:G138)</f>
        <v>23073352.550000001</v>
      </c>
      <c r="H139" s="135"/>
      <c r="I139" s="135"/>
      <c r="J139" s="134">
        <f>SUM(J136:J138)</f>
        <v>-7414474.0499999998</v>
      </c>
      <c r="K139" s="135"/>
      <c r="L139" s="135"/>
      <c r="M139" s="136">
        <f>SUM(M136:M138)</f>
        <v>15658878.5</v>
      </c>
      <c r="N139" s="100"/>
      <c r="O139" s="122"/>
      <c r="P139" s="122"/>
      <c r="Q139" s="100"/>
      <c r="R139" s="143"/>
      <c r="S139" s="143"/>
      <c r="T139" s="143"/>
      <c r="U139" s="144"/>
    </row>
    <row r="140" spans="2:21" ht="21" customHeight="1">
      <c r="B140" s="94" t="s">
        <v>162</v>
      </c>
      <c r="C140" s="110"/>
      <c r="D140" s="110"/>
      <c r="E140" s="110"/>
      <c r="F140" s="133"/>
      <c r="G140" s="135">
        <f>19334849.79+982311+1682311+12301668+982311+832311+2244811+1657311</f>
        <v>40017883.789999999</v>
      </c>
      <c r="H140" s="135"/>
      <c r="I140" s="135"/>
      <c r="J140" s="149">
        <v>832311</v>
      </c>
      <c r="K140" s="135"/>
      <c r="L140" s="135"/>
      <c r="M140" s="150">
        <f>+G140+J140</f>
        <v>40850194.789999999</v>
      </c>
      <c r="N140" s="100"/>
      <c r="O140" s="122"/>
      <c r="P140" s="122"/>
      <c r="Q140" s="66"/>
      <c r="R140" s="143"/>
      <c r="S140" s="143"/>
      <c r="T140" s="143"/>
      <c r="U140" s="144"/>
    </row>
    <row r="141" spans="2:21">
      <c r="B141" s="94" t="s">
        <v>163</v>
      </c>
      <c r="C141" s="110"/>
      <c r="D141" s="110"/>
      <c r="E141" s="110"/>
      <c r="F141" s="133"/>
      <c r="G141" s="139">
        <f>+G138</f>
        <v>-17776842.239999998</v>
      </c>
      <c r="H141" s="139"/>
      <c r="I141" s="139"/>
      <c r="J141" s="139">
        <f>+J138</f>
        <v>-7414474.0499999998</v>
      </c>
      <c r="K141" s="139"/>
      <c r="L141" s="139"/>
      <c r="M141" s="140">
        <f>+M138</f>
        <v>-25191316.289999999</v>
      </c>
      <c r="N141" s="100"/>
      <c r="O141" s="122"/>
      <c r="P141" s="122"/>
      <c r="Q141" s="100"/>
      <c r="R141" s="143"/>
      <c r="S141" s="143"/>
      <c r="T141" s="143"/>
      <c r="U141" s="144"/>
    </row>
    <row r="142" spans="2:21">
      <c r="B142" s="94" t="s">
        <v>164</v>
      </c>
      <c r="C142" s="110"/>
      <c r="D142" s="110"/>
      <c r="E142" s="110"/>
      <c r="F142" s="133"/>
      <c r="G142" s="134">
        <f>+G140+G141</f>
        <v>22241041.550000001</v>
      </c>
      <c r="H142" s="135"/>
      <c r="I142" s="135"/>
      <c r="J142" s="134">
        <f>+J140+J141</f>
        <v>-6582163.0499999998</v>
      </c>
      <c r="K142" s="135"/>
      <c r="L142" s="135"/>
      <c r="M142" s="136">
        <f>+M140+M141</f>
        <v>15658878.5</v>
      </c>
      <c r="N142" s="100"/>
      <c r="O142" s="122"/>
      <c r="P142" s="122"/>
      <c r="Q142" s="100"/>
      <c r="R142" s="143"/>
      <c r="S142" s="143"/>
      <c r="T142" s="143"/>
      <c r="U142" s="144"/>
    </row>
    <row r="143" spans="2:21">
      <c r="B143" s="81"/>
      <c r="C143" s="82"/>
      <c r="D143" s="82"/>
      <c r="E143" s="82"/>
      <c r="F143" s="82"/>
      <c r="G143" s="126"/>
      <c r="H143" s="126"/>
      <c r="I143" s="126"/>
      <c r="J143" s="126"/>
      <c r="K143" s="126"/>
      <c r="L143" s="126"/>
      <c r="M143" s="132"/>
      <c r="O143" s="122"/>
      <c r="P143" s="122"/>
      <c r="Q143" s="144"/>
      <c r="R143" s="143"/>
      <c r="S143" s="143"/>
      <c r="T143" s="143"/>
      <c r="U143" s="144"/>
    </row>
    <row r="144" spans="2:21">
      <c r="O144" s="66"/>
      <c r="P144" s="122"/>
      <c r="Q144" s="144"/>
      <c r="R144" s="143"/>
      <c r="S144" s="143"/>
      <c r="T144" s="143"/>
      <c r="U144" s="144"/>
    </row>
    <row r="145" spans="3:21">
      <c r="J145" s="100"/>
      <c r="Q145" s="144"/>
      <c r="R145" s="143"/>
      <c r="S145" s="143"/>
      <c r="T145" s="143"/>
      <c r="U145" s="144"/>
    </row>
    <row r="146" spans="3:21">
      <c r="C146" s="152" t="s">
        <v>187</v>
      </c>
      <c r="D146" s="152"/>
      <c r="E146" s="152"/>
      <c r="F146" s="152"/>
      <c r="G146" s="153"/>
      <c r="J146" s="66"/>
      <c r="K146" s="66"/>
      <c r="L146" s="66"/>
      <c r="M146" s="66"/>
      <c r="Q146" s="144"/>
      <c r="R146" s="143"/>
      <c r="S146" s="143"/>
      <c r="T146" s="143"/>
      <c r="U146" s="144"/>
    </row>
    <row r="147" spans="3:21">
      <c r="C147" s="152" t="s">
        <v>188</v>
      </c>
      <c r="D147" s="152"/>
      <c r="E147" s="152"/>
      <c r="F147" s="152"/>
      <c r="G147" s="154"/>
      <c r="J147" s="100"/>
      <c r="K147" s="100"/>
      <c r="L147" s="100"/>
      <c r="M147" s="100"/>
      <c r="Q147" s="144"/>
      <c r="R147" s="143"/>
      <c r="S147" s="143"/>
      <c r="T147" s="143"/>
      <c r="U147" s="144"/>
    </row>
    <row r="148" spans="3:21">
      <c r="C148" s="152" t="s">
        <v>189</v>
      </c>
      <c r="D148" s="152"/>
      <c r="E148" s="152"/>
      <c r="F148" s="152"/>
      <c r="G148" s="152"/>
      <c r="Q148" s="144"/>
      <c r="R148" s="143"/>
      <c r="S148" s="143"/>
      <c r="T148" s="143"/>
      <c r="U148" s="144"/>
    </row>
    <row r="149" spans="3:21">
      <c r="C149" s="152"/>
      <c r="D149" s="152"/>
      <c r="E149" s="152"/>
      <c r="F149" s="152"/>
      <c r="G149" s="153"/>
      <c r="H149" s="58"/>
      <c r="I149" s="58"/>
      <c r="J149" s="66"/>
      <c r="K149" s="66"/>
      <c r="L149" s="66"/>
      <c r="M149" s="66"/>
      <c r="Q149" s="144"/>
      <c r="R149" s="143"/>
      <c r="S149" s="143"/>
      <c r="T149" s="143"/>
      <c r="U149" s="144"/>
    </row>
    <row r="150" spans="3:21">
      <c r="C150" s="152"/>
      <c r="D150" s="152"/>
      <c r="E150" s="152"/>
      <c r="F150" s="152"/>
      <c r="G150" s="153"/>
      <c r="H150" s="58"/>
      <c r="I150" s="58"/>
      <c r="J150" s="66"/>
      <c r="K150" s="66"/>
      <c r="L150" s="66"/>
      <c r="M150" s="66"/>
      <c r="Q150" s="144"/>
      <c r="R150" s="143"/>
      <c r="S150" s="143"/>
      <c r="T150" s="143"/>
      <c r="U150" s="144"/>
    </row>
    <row r="151" spans="3:21">
      <c r="C151" s="152"/>
      <c r="D151" s="152"/>
      <c r="E151" s="152"/>
      <c r="F151" s="152"/>
      <c r="G151" s="155"/>
      <c r="H151" s="58"/>
      <c r="I151" s="58"/>
      <c r="J151" s="58"/>
      <c r="K151" s="58"/>
      <c r="L151" s="58"/>
      <c r="M151" s="58"/>
      <c r="Q151" s="144"/>
      <c r="R151" s="143"/>
      <c r="S151" s="143"/>
      <c r="T151" s="143"/>
      <c r="U151" s="144"/>
    </row>
    <row r="152" spans="3:21">
      <c r="C152" s="152"/>
      <c r="D152" s="152"/>
      <c r="E152" s="152"/>
      <c r="F152" s="152"/>
      <c r="G152" s="153"/>
      <c r="H152" s="58"/>
      <c r="I152" s="58"/>
      <c r="J152" s="66"/>
      <c r="K152" s="66"/>
      <c r="L152" s="66"/>
      <c r="M152" s="66"/>
      <c r="Q152" s="144"/>
      <c r="R152" s="143"/>
      <c r="S152" s="143"/>
      <c r="T152" s="143"/>
      <c r="U152" s="144"/>
    </row>
    <row r="153" spans="3:21">
      <c r="C153" s="152"/>
      <c r="D153" s="152"/>
      <c r="E153" s="152"/>
      <c r="F153" s="152"/>
      <c r="G153" s="153"/>
      <c r="H153" s="58"/>
      <c r="I153" s="58"/>
      <c r="J153" s="66"/>
      <c r="K153" s="66"/>
      <c r="L153" s="66"/>
      <c r="M153" s="66"/>
      <c r="Q153" s="144"/>
      <c r="R153" s="143"/>
      <c r="S153" s="143"/>
      <c r="T153" s="143"/>
      <c r="U153" s="144"/>
    </row>
    <row r="154" spans="3:21">
      <c r="C154" s="152"/>
      <c r="D154" s="152"/>
      <c r="E154" s="152"/>
      <c r="F154" s="152"/>
      <c r="G154" s="155"/>
      <c r="H154" s="58"/>
      <c r="I154" s="58"/>
      <c r="J154" s="58"/>
      <c r="K154" s="58"/>
      <c r="L154" s="58"/>
      <c r="M154" s="58"/>
      <c r="Q154" s="144"/>
      <c r="R154" s="143"/>
      <c r="S154" s="143"/>
      <c r="T154" s="143"/>
      <c r="U154" s="144"/>
    </row>
    <row r="155" spans="3:21">
      <c r="G155" s="66"/>
      <c r="H155" s="58"/>
      <c r="I155" s="58"/>
      <c r="J155" s="66"/>
      <c r="K155" s="66"/>
      <c r="L155" s="66"/>
      <c r="M155" s="66"/>
      <c r="Q155" s="144"/>
      <c r="R155" s="143"/>
      <c r="S155" s="143"/>
      <c r="T155" s="143"/>
      <c r="U155" s="144"/>
    </row>
    <row r="156" spans="3:21">
      <c r="G156" s="66"/>
      <c r="H156" s="58"/>
      <c r="I156" s="58"/>
      <c r="J156" s="66"/>
      <c r="K156" s="66"/>
      <c r="L156" s="66"/>
      <c r="M156" s="66"/>
      <c r="Q156" s="144"/>
      <c r="R156" s="143"/>
      <c r="S156" s="143"/>
      <c r="T156" s="143"/>
      <c r="U156" s="144"/>
    </row>
    <row r="157" spans="3:21">
      <c r="G157" s="58"/>
      <c r="H157" s="58"/>
      <c r="I157" s="58"/>
      <c r="J157" s="58"/>
      <c r="K157" s="58"/>
      <c r="L157" s="58"/>
      <c r="M157" s="58"/>
      <c r="Q157" s="144"/>
      <c r="R157" s="143"/>
      <c r="S157" s="143"/>
      <c r="T157" s="143"/>
      <c r="U157" s="144"/>
    </row>
    <row r="158" spans="3:21">
      <c r="G158" s="66"/>
      <c r="H158" s="58"/>
      <c r="I158" s="58"/>
      <c r="J158" s="66"/>
      <c r="K158" s="66"/>
      <c r="L158" s="66"/>
      <c r="M158" s="66"/>
      <c r="Q158" s="144"/>
      <c r="R158" s="143"/>
      <c r="S158" s="143"/>
      <c r="T158" s="143"/>
      <c r="U158" s="144"/>
    </row>
    <row r="159" spans="3:21">
      <c r="G159" s="66"/>
      <c r="H159" s="58"/>
      <c r="I159" s="58"/>
      <c r="J159" s="66"/>
      <c r="K159" s="66"/>
      <c r="L159" s="66"/>
      <c r="M159" s="66"/>
      <c r="Q159" s="144"/>
      <c r="R159" s="143"/>
      <c r="S159" s="143"/>
      <c r="T159" s="143"/>
      <c r="U159" s="144"/>
    </row>
    <row r="160" spans="3:21">
      <c r="G160" s="58"/>
      <c r="H160" s="58"/>
      <c r="I160" s="58"/>
      <c r="J160" s="58"/>
      <c r="K160" s="58"/>
      <c r="L160" s="58"/>
      <c r="M160" s="58"/>
      <c r="Q160" s="144"/>
      <c r="R160" s="143"/>
      <c r="S160" s="143"/>
      <c r="T160" s="143"/>
      <c r="U160" s="144"/>
    </row>
    <row r="161" spans="7:21">
      <c r="G161" s="58"/>
      <c r="H161" s="58"/>
      <c r="I161" s="58"/>
      <c r="J161" s="58"/>
      <c r="K161" s="58"/>
      <c r="L161" s="58"/>
      <c r="M161" s="58"/>
      <c r="Q161" s="144"/>
      <c r="R161" s="143"/>
      <c r="S161" s="143"/>
      <c r="T161" s="143"/>
      <c r="U161" s="144"/>
    </row>
    <row r="162" spans="7:21">
      <c r="G162" s="66"/>
      <c r="H162" s="58"/>
      <c r="I162" s="58"/>
      <c r="J162" s="66"/>
      <c r="K162" s="66"/>
      <c r="L162" s="66"/>
      <c r="M162" s="66"/>
      <c r="Q162" s="144"/>
      <c r="R162" s="143"/>
      <c r="S162" s="143"/>
      <c r="T162" s="143"/>
      <c r="U162" s="144"/>
    </row>
    <row r="163" spans="7:21">
      <c r="G163" s="66"/>
      <c r="H163" s="58"/>
      <c r="I163" s="58"/>
      <c r="J163" s="66"/>
      <c r="K163" s="66"/>
      <c r="L163" s="66"/>
      <c r="M163" s="66"/>
      <c r="Q163" s="144"/>
      <c r="R163" s="144"/>
      <c r="S163" s="144"/>
      <c r="T163" s="144"/>
      <c r="U163" s="144"/>
    </row>
    <row r="164" spans="7:21">
      <c r="G164" s="58"/>
      <c r="H164" s="58"/>
      <c r="I164" s="58"/>
      <c r="J164" s="58"/>
      <c r="K164" s="58"/>
      <c r="L164" s="58"/>
      <c r="M164" s="58"/>
      <c r="Q164" s="144"/>
      <c r="R164" s="144"/>
      <c r="S164" s="144"/>
      <c r="T164" s="144"/>
      <c r="U164" s="144"/>
    </row>
    <row r="165" spans="7:21">
      <c r="G165" s="58"/>
      <c r="H165" s="58"/>
      <c r="I165" s="58"/>
      <c r="J165" s="58"/>
      <c r="K165" s="58"/>
      <c r="L165" s="58"/>
      <c r="M165" s="58"/>
      <c r="Q165" s="144"/>
      <c r="R165" s="144"/>
      <c r="S165" s="144"/>
      <c r="T165" s="144"/>
      <c r="U165" s="144"/>
    </row>
    <row r="166" spans="7:21">
      <c r="G166" s="58"/>
      <c r="H166" s="58"/>
      <c r="I166" s="58"/>
      <c r="J166" s="58"/>
      <c r="K166" s="58"/>
      <c r="L166" s="58"/>
      <c r="M166" s="58"/>
      <c r="Q166" s="144"/>
      <c r="R166" s="144"/>
      <c r="S166" s="144"/>
      <c r="T166" s="144"/>
      <c r="U166" s="144"/>
    </row>
    <row r="167" spans="7:21">
      <c r="G167" s="58"/>
      <c r="H167" s="58"/>
      <c r="I167" s="58"/>
      <c r="J167" s="58"/>
      <c r="K167" s="58"/>
      <c r="L167" s="58"/>
      <c r="M167" s="58"/>
      <c r="Q167" s="144"/>
      <c r="R167" s="144"/>
      <c r="S167" s="144"/>
      <c r="T167" s="144"/>
      <c r="U167" s="144"/>
    </row>
    <row r="168" spans="7:21">
      <c r="G168" s="58"/>
      <c r="H168" s="58"/>
      <c r="I168" s="58"/>
      <c r="J168" s="58"/>
      <c r="K168" s="58"/>
      <c r="L168" s="58"/>
      <c r="M168" s="58"/>
      <c r="Q168" s="144"/>
      <c r="R168" s="144"/>
      <c r="S168" s="144"/>
      <c r="T168" s="144"/>
      <c r="U168" s="144"/>
    </row>
    <row r="169" spans="7:21">
      <c r="G169" s="58"/>
      <c r="H169" s="58"/>
      <c r="I169" s="58"/>
      <c r="J169" s="58"/>
      <c r="K169" s="58"/>
      <c r="L169" s="58"/>
      <c r="M169" s="58"/>
      <c r="Q169" s="144"/>
      <c r="R169" s="144"/>
      <c r="S169" s="144"/>
      <c r="T169" s="144"/>
      <c r="U169" s="144"/>
    </row>
    <row r="170" spans="7:21">
      <c r="G170" s="58"/>
      <c r="H170" s="58"/>
      <c r="I170" s="58"/>
      <c r="J170" s="58"/>
      <c r="K170" s="58"/>
      <c r="L170" s="58"/>
      <c r="M170" s="58"/>
      <c r="Q170" s="144"/>
      <c r="R170" s="144"/>
      <c r="S170" s="144"/>
      <c r="T170" s="144"/>
      <c r="U170" s="144"/>
    </row>
    <row r="171" spans="7:21">
      <c r="G171" s="58"/>
      <c r="H171" s="58"/>
      <c r="I171" s="58"/>
      <c r="J171" s="58"/>
      <c r="K171" s="58"/>
      <c r="L171" s="58"/>
      <c r="M171" s="58"/>
      <c r="Q171" s="144"/>
      <c r="R171" s="144"/>
      <c r="S171" s="144"/>
      <c r="T171" s="144"/>
      <c r="U171" s="144"/>
    </row>
    <row r="172" spans="7:21">
      <c r="G172" s="58"/>
      <c r="H172" s="58"/>
      <c r="I172" s="58"/>
      <c r="J172" s="58"/>
      <c r="K172" s="58"/>
      <c r="L172" s="58"/>
      <c r="M172" s="58"/>
      <c r="Q172" s="144"/>
      <c r="R172" s="144"/>
      <c r="S172" s="144"/>
      <c r="T172" s="144"/>
      <c r="U172" s="144"/>
    </row>
    <row r="173" spans="7:21">
      <c r="G173" s="58"/>
      <c r="H173" s="58"/>
      <c r="I173" s="58"/>
      <c r="J173" s="58"/>
      <c r="K173" s="58"/>
      <c r="L173" s="58"/>
      <c r="M173" s="58"/>
      <c r="Q173" s="144"/>
      <c r="R173" s="144"/>
      <c r="S173" s="144"/>
      <c r="T173" s="144"/>
      <c r="U173" s="144"/>
    </row>
    <row r="174" spans="7:21">
      <c r="G174" s="58"/>
      <c r="H174" s="58"/>
      <c r="I174" s="58"/>
      <c r="J174" s="58"/>
      <c r="K174" s="58"/>
      <c r="L174" s="58"/>
      <c r="M174" s="58"/>
      <c r="Q174" s="144"/>
      <c r="R174" s="144"/>
      <c r="S174" s="144"/>
      <c r="T174" s="144"/>
      <c r="U174" s="144"/>
    </row>
    <row r="175" spans="7:21">
      <c r="G175" s="58"/>
      <c r="H175" s="58"/>
      <c r="I175" s="58"/>
      <c r="J175" s="58"/>
      <c r="K175" s="58"/>
      <c r="L175" s="58"/>
      <c r="M175" s="58"/>
      <c r="Q175" s="144"/>
      <c r="R175" s="144"/>
      <c r="S175" s="144"/>
      <c r="T175" s="144"/>
      <c r="U175" s="144"/>
    </row>
    <row r="176" spans="7:21">
      <c r="G176" s="58"/>
      <c r="H176" s="58"/>
      <c r="I176" s="58"/>
      <c r="J176" s="58"/>
      <c r="K176" s="58"/>
      <c r="L176" s="58"/>
      <c r="M176" s="58"/>
      <c r="Q176" s="144"/>
      <c r="R176" s="144"/>
      <c r="S176" s="144"/>
      <c r="T176" s="144"/>
      <c r="U176" s="144"/>
    </row>
    <row r="177" spans="7:21">
      <c r="G177" s="58"/>
      <c r="H177" s="58"/>
      <c r="I177" s="58"/>
      <c r="J177" s="58"/>
      <c r="K177" s="58"/>
      <c r="L177" s="58"/>
      <c r="M177" s="58"/>
      <c r="Q177" s="144"/>
      <c r="R177" s="144"/>
      <c r="S177" s="144"/>
      <c r="T177" s="144"/>
      <c r="U177" s="144"/>
    </row>
    <row r="178" spans="7:21">
      <c r="G178" s="58"/>
      <c r="H178" s="58"/>
      <c r="I178" s="58"/>
      <c r="J178" s="58"/>
      <c r="K178" s="58"/>
      <c r="L178" s="58"/>
      <c r="M178" s="58"/>
      <c r="Q178" s="144"/>
      <c r="R178" s="144"/>
      <c r="S178" s="144"/>
      <c r="T178" s="144"/>
      <c r="U178" s="144"/>
    </row>
    <row r="179" spans="7:21">
      <c r="G179" s="58"/>
      <c r="H179" s="58"/>
      <c r="I179" s="58"/>
      <c r="J179" s="58"/>
      <c r="K179" s="58"/>
      <c r="L179" s="58"/>
      <c r="M179" s="58"/>
      <c r="Q179" s="144"/>
      <c r="R179" s="144"/>
      <c r="S179" s="144"/>
      <c r="T179" s="144"/>
      <c r="U179" s="144"/>
    </row>
    <row r="180" spans="7:21">
      <c r="G180" s="58"/>
      <c r="H180" s="58"/>
      <c r="I180" s="58"/>
      <c r="J180" s="58"/>
      <c r="K180" s="58"/>
      <c r="L180" s="58"/>
      <c r="M180" s="58"/>
      <c r="Q180" s="144"/>
      <c r="R180" s="144"/>
      <c r="S180" s="144"/>
      <c r="T180" s="144"/>
      <c r="U180" s="144"/>
    </row>
    <row r="181" spans="7:21">
      <c r="G181" s="58"/>
      <c r="H181" s="58"/>
      <c r="I181" s="58"/>
      <c r="J181" s="58"/>
      <c r="K181" s="58"/>
      <c r="L181" s="58"/>
      <c r="M181" s="58"/>
      <c r="Q181" s="144"/>
      <c r="R181" s="144"/>
      <c r="S181" s="144"/>
      <c r="T181" s="144"/>
      <c r="U181" s="144"/>
    </row>
    <row r="182" spans="7:21">
      <c r="G182" s="58"/>
      <c r="H182" s="58"/>
      <c r="I182" s="58"/>
      <c r="J182" s="58"/>
      <c r="K182" s="58"/>
      <c r="L182" s="58"/>
      <c r="M182" s="58"/>
      <c r="Q182" s="144"/>
      <c r="R182" s="144"/>
      <c r="S182" s="144"/>
      <c r="T182" s="144"/>
      <c r="U182" s="144"/>
    </row>
    <row r="183" spans="7:21">
      <c r="G183" s="58"/>
      <c r="H183" s="58"/>
      <c r="I183" s="58"/>
      <c r="J183" s="58"/>
      <c r="K183" s="58"/>
      <c r="L183" s="58"/>
      <c r="M183" s="58"/>
      <c r="Q183" s="144"/>
      <c r="R183" s="144"/>
      <c r="S183" s="144"/>
      <c r="T183" s="144"/>
      <c r="U183" s="144"/>
    </row>
    <row r="184" spans="7:21">
      <c r="G184" s="58"/>
      <c r="H184" s="58"/>
      <c r="I184" s="58"/>
      <c r="J184" s="58"/>
      <c r="K184" s="58"/>
      <c r="L184" s="58"/>
      <c r="M184" s="58"/>
      <c r="Q184" s="144"/>
      <c r="R184" s="144"/>
      <c r="S184" s="144"/>
      <c r="T184" s="144"/>
      <c r="U184" s="144"/>
    </row>
    <row r="185" spans="7:21">
      <c r="G185" s="58"/>
      <c r="H185" s="58"/>
      <c r="I185" s="58"/>
      <c r="J185" s="58"/>
      <c r="K185" s="58"/>
      <c r="L185" s="58"/>
      <c r="M185" s="58"/>
      <c r="Q185" s="144"/>
      <c r="R185" s="144"/>
      <c r="S185" s="144"/>
      <c r="T185" s="144"/>
      <c r="U185" s="144"/>
    </row>
    <row r="186" spans="7:21">
      <c r="G186" s="58"/>
      <c r="H186" s="58"/>
      <c r="I186" s="58"/>
      <c r="J186" s="58"/>
      <c r="K186" s="58"/>
      <c r="L186" s="58"/>
      <c r="M186" s="58"/>
      <c r="Q186" s="144"/>
      <c r="R186" s="144"/>
      <c r="S186" s="144"/>
      <c r="T186" s="144"/>
      <c r="U186" s="144"/>
    </row>
    <row r="187" spans="7:21">
      <c r="G187" s="58"/>
      <c r="H187" s="58"/>
      <c r="I187" s="58"/>
      <c r="J187" s="58"/>
      <c r="K187" s="58"/>
      <c r="L187" s="58"/>
      <c r="M187" s="58"/>
      <c r="Q187" s="144"/>
      <c r="R187" s="144"/>
      <c r="S187" s="144"/>
      <c r="T187" s="144"/>
      <c r="U187" s="144"/>
    </row>
    <row r="188" spans="7:21">
      <c r="G188" s="58"/>
      <c r="H188" s="58"/>
      <c r="I188" s="58"/>
      <c r="J188" s="58"/>
      <c r="K188" s="58"/>
      <c r="L188" s="58"/>
      <c r="M188" s="58"/>
      <c r="Q188" s="144"/>
      <c r="R188" s="144"/>
      <c r="S188" s="144"/>
      <c r="T188" s="144"/>
      <c r="U188" s="144"/>
    </row>
    <row r="189" spans="7:21">
      <c r="G189" s="58"/>
      <c r="H189" s="58"/>
      <c r="I189" s="58"/>
      <c r="J189" s="58"/>
      <c r="K189" s="58"/>
      <c r="L189" s="58"/>
      <c r="M189" s="58"/>
      <c r="Q189" s="144"/>
      <c r="R189" s="144"/>
      <c r="S189" s="144"/>
      <c r="T189" s="144"/>
      <c r="U189" s="144"/>
    </row>
    <row r="190" spans="7:21">
      <c r="Q190" s="144"/>
      <c r="R190" s="144"/>
      <c r="S190" s="144"/>
      <c r="T190" s="144"/>
      <c r="U190" s="144"/>
    </row>
    <row r="191" spans="7:21">
      <c r="Q191" s="144"/>
      <c r="R191" s="144"/>
      <c r="S191" s="144"/>
      <c r="T191" s="144"/>
      <c r="U191" s="144"/>
    </row>
    <row r="192" spans="7:21">
      <c r="Q192" s="144"/>
      <c r="R192" s="144"/>
      <c r="S192" s="144"/>
      <c r="T192" s="144"/>
      <c r="U192" s="144"/>
    </row>
    <row r="193" spans="17:21">
      <c r="Q193" s="144"/>
      <c r="R193" s="144"/>
      <c r="S193" s="144"/>
      <c r="T193" s="144"/>
      <c r="U193" s="144"/>
    </row>
    <row r="194" spans="17:21">
      <c r="Q194" s="144"/>
      <c r="R194" s="144"/>
      <c r="S194" s="144"/>
      <c r="T194" s="144"/>
      <c r="U194" s="144"/>
    </row>
    <row r="195" spans="17:21">
      <c r="Q195" s="144"/>
      <c r="R195" s="144"/>
      <c r="S195" s="144"/>
      <c r="T195" s="144"/>
      <c r="U195" s="144"/>
    </row>
    <row r="196" spans="17:21">
      <c r="Q196" s="144"/>
      <c r="R196" s="144"/>
      <c r="S196" s="144"/>
      <c r="T196" s="144"/>
      <c r="U196" s="144"/>
    </row>
    <row r="197" spans="17:21">
      <c r="Q197" s="144"/>
      <c r="R197" s="144"/>
      <c r="S197" s="144"/>
      <c r="T197" s="144"/>
      <c r="U197" s="144"/>
    </row>
    <row r="198" spans="17:21">
      <c r="Q198" s="144"/>
      <c r="R198" s="144"/>
      <c r="S198" s="144"/>
      <c r="T198" s="144"/>
      <c r="U198" s="144"/>
    </row>
    <row r="199" spans="17:21">
      <c r="Q199" s="144"/>
      <c r="R199" s="144"/>
      <c r="S199" s="144"/>
      <c r="T199" s="144"/>
      <c r="U199" s="144"/>
    </row>
    <row r="200" spans="17:21">
      <c r="Q200" s="144"/>
      <c r="R200" s="144"/>
      <c r="S200" s="144"/>
      <c r="T200" s="144"/>
      <c r="U200" s="144"/>
    </row>
    <row r="201" spans="17:21">
      <c r="Q201" s="144"/>
      <c r="R201" s="144"/>
      <c r="S201" s="144"/>
      <c r="T201" s="144"/>
      <c r="U201" s="144"/>
    </row>
    <row r="202" spans="17:21">
      <c r="Q202" s="144"/>
      <c r="R202" s="144"/>
      <c r="S202" s="144"/>
      <c r="T202" s="144"/>
      <c r="U202" s="144"/>
    </row>
  </sheetData>
  <mergeCells count="20">
    <mergeCell ref="F73:M73"/>
    <mergeCell ref="J74:K74"/>
    <mergeCell ref="F103:M103"/>
    <mergeCell ref="J104:K104"/>
    <mergeCell ref="F124:M124"/>
    <mergeCell ref="J125:K125"/>
    <mergeCell ref="A13:E13"/>
    <mergeCell ref="K13:O13"/>
    <mergeCell ref="P13:T13"/>
    <mergeCell ref="A15:E15"/>
    <mergeCell ref="F52:M52"/>
    <mergeCell ref="J53:K53"/>
    <mergeCell ref="A2:Q2"/>
    <mergeCell ref="AE2:AF2"/>
    <mergeCell ref="A3:Q3"/>
    <mergeCell ref="H4:K4"/>
    <mergeCell ref="F12:J12"/>
    <mergeCell ref="K12:U12"/>
    <mergeCell ref="W12:Z12"/>
    <mergeCell ref="AA12:AE12"/>
  </mergeCells>
  <printOptions horizontalCentered="1"/>
  <pageMargins left="0" right="0" top="0.22" bottom="0" header="0.18" footer="0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zoomScaleSheetLayoutView="100" workbookViewId="0">
      <selection activeCell="A25" sqref="A25:D25"/>
    </sheetView>
  </sheetViews>
  <sheetFormatPr defaultRowHeight="15"/>
  <cols>
    <col min="1" max="1" width="44" customWidth="1"/>
    <col min="2" max="2" width="12" customWidth="1"/>
    <col min="3" max="3" width="11.7109375" customWidth="1"/>
    <col min="4" max="4" width="15.140625" customWidth="1"/>
    <col min="6" max="6" width="11.5703125" customWidth="1"/>
    <col min="7" max="7" width="12" customWidth="1"/>
    <col min="11" max="11" width="9.85546875" bestFit="1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66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2"/>
      <c r="K5" s="50" t="s">
        <v>4</v>
      </c>
      <c r="L5" s="51"/>
      <c r="M5" s="51"/>
      <c r="N5" s="51"/>
      <c r="O5" s="51"/>
      <c r="P5" s="51"/>
      <c r="Q5" s="51"/>
      <c r="R5" s="51"/>
      <c r="S5" s="52"/>
      <c r="T5" s="50" t="s">
        <v>5</v>
      </c>
      <c r="U5" s="51"/>
      <c r="V5" s="51"/>
      <c r="W5" s="51"/>
      <c r="X5" s="51"/>
      <c r="Y5" s="51"/>
      <c r="Z5" s="51"/>
      <c r="AA5" s="51"/>
      <c r="AB5" s="52"/>
    </row>
    <row r="6" spans="1:28">
      <c r="A6" s="50" t="s">
        <v>6</v>
      </c>
      <c r="B6" s="51"/>
      <c r="C6" s="51"/>
      <c r="D6" s="51"/>
      <c r="E6" s="51"/>
      <c r="F6" s="51"/>
      <c r="G6" s="51"/>
      <c r="H6" s="51"/>
      <c r="I6" s="51"/>
      <c r="J6" s="52"/>
      <c r="K6" s="50" t="s">
        <v>7</v>
      </c>
      <c r="L6" s="51"/>
      <c r="M6" s="51"/>
      <c r="N6" s="51"/>
      <c r="O6" s="51"/>
      <c r="P6" s="51"/>
      <c r="Q6" s="51"/>
      <c r="R6" s="51"/>
      <c r="S6" s="52"/>
      <c r="T6" s="50" t="s">
        <v>8</v>
      </c>
      <c r="U6" s="51"/>
      <c r="V6" s="51"/>
      <c r="W6" s="51"/>
      <c r="X6" s="51"/>
      <c r="Y6" s="51"/>
      <c r="Z6" s="51"/>
      <c r="AA6" s="51"/>
      <c r="AB6" s="52"/>
    </row>
    <row r="7" spans="1:28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/>
    </row>
    <row r="12" spans="1:28" ht="15" customHeight="1">
      <c r="A12" s="9" t="s">
        <v>32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7"/>
      <c r="C27" s="10">
        <v>2250218</v>
      </c>
      <c r="D27" s="10">
        <v>2250218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114664.77</v>
      </c>
      <c r="C29" s="7"/>
      <c r="D29" s="10">
        <v>114664.77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8" t="s">
        <v>51</v>
      </c>
      <c r="B34" s="10">
        <v>114664.77</v>
      </c>
      <c r="C34" s="10">
        <v>2250218</v>
      </c>
      <c r="D34" s="10">
        <v>2364882.77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7"/>
      <c r="C36" s="7"/>
      <c r="D36" s="7"/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54</v>
      </c>
      <c r="B37" s="10">
        <v>114664.77</v>
      </c>
      <c r="C37" s="7"/>
      <c r="D37" s="10">
        <v>114664.77</v>
      </c>
      <c r="E37" s="4"/>
      <c r="F37" s="53" t="s">
        <v>61</v>
      </c>
      <c r="G37" s="53"/>
      <c r="H37" s="54" t="s">
        <v>62</v>
      </c>
      <c r="I37" s="54"/>
      <c r="J37" s="5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13" t="s">
        <v>55</v>
      </c>
      <c r="B38" s="7"/>
      <c r="C38" s="10">
        <v>2250218</v>
      </c>
      <c r="D38" s="10">
        <v>2250218</v>
      </c>
      <c r="E38" s="4"/>
      <c r="F38" s="47" t="s">
        <v>67</v>
      </c>
      <c r="G38" s="47"/>
      <c r="H38" s="45" t="s">
        <v>68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7.75" customHeight="1">
      <c r="A39" s="8" t="s">
        <v>56</v>
      </c>
      <c r="B39" s="10">
        <v>1421984</v>
      </c>
      <c r="C39" s="10">
        <v>828234</v>
      </c>
      <c r="D39" s="10">
        <v>2250218</v>
      </c>
      <c r="E39" s="4"/>
      <c r="F39" s="4"/>
      <c r="G39" s="4"/>
      <c r="H39" s="4"/>
      <c r="I39" s="4"/>
      <c r="J39" s="4"/>
      <c r="K39" s="1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114664.77</v>
      </c>
      <c r="C40" s="7"/>
      <c r="D40" s="10">
        <v>114664.77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8" t="s">
        <v>58</v>
      </c>
      <c r="B41" s="10">
        <v>1307319.23</v>
      </c>
      <c r="C41" s="10">
        <v>828234</v>
      </c>
      <c r="D41" s="10">
        <v>2135553.23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6.25" customHeight="1">
      <c r="A42" s="3" t="s">
        <v>69</v>
      </c>
    </row>
  </sheetData>
  <mergeCells count="28">
    <mergeCell ref="F38:G38"/>
    <mergeCell ref="H38:I38"/>
    <mergeCell ref="H35:I35"/>
    <mergeCell ref="A23:D23"/>
    <mergeCell ref="F35:G35"/>
    <mergeCell ref="F36:G36"/>
    <mergeCell ref="H36:I36"/>
    <mergeCell ref="F37:G37"/>
    <mergeCell ref="H37:J37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G8:K8"/>
    <mergeCell ref="L8:Q8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zoomScaleSheetLayoutView="100" workbookViewId="0">
      <selection activeCell="A25" sqref="A25:D25"/>
    </sheetView>
  </sheetViews>
  <sheetFormatPr defaultRowHeight="15"/>
  <cols>
    <col min="1" max="1" width="44.7109375" customWidth="1"/>
    <col min="2" max="2" width="14" customWidth="1"/>
    <col min="3" max="3" width="12.5703125" customWidth="1"/>
    <col min="4" max="4" width="13.7109375" customWidth="1"/>
    <col min="28" max="28" width="11.140625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72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2"/>
      <c r="K5" s="50" t="s">
        <v>4</v>
      </c>
      <c r="L5" s="51"/>
      <c r="M5" s="51"/>
      <c r="N5" s="51"/>
      <c r="O5" s="51"/>
      <c r="P5" s="51"/>
      <c r="Q5" s="51"/>
      <c r="R5" s="51"/>
      <c r="S5" s="52"/>
      <c r="T5" s="50" t="s">
        <v>5</v>
      </c>
      <c r="U5" s="51"/>
      <c r="V5" s="51"/>
      <c r="W5" s="51"/>
      <c r="X5" s="51"/>
      <c r="Y5" s="51"/>
      <c r="Z5" s="51"/>
      <c r="AA5" s="51"/>
      <c r="AB5" s="52"/>
    </row>
    <row r="6" spans="1:28">
      <c r="A6" s="50" t="s">
        <v>6</v>
      </c>
      <c r="B6" s="51"/>
      <c r="C6" s="51"/>
      <c r="D6" s="51"/>
      <c r="E6" s="51"/>
      <c r="F6" s="51"/>
      <c r="G6" s="51"/>
      <c r="H6" s="51"/>
      <c r="I6" s="51"/>
      <c r="J6" s="52"/>
      <c r="K6" s="50" t="s">
        <v>7</v>
      </c>
      <c r="L6" s="51"/>
      <c r="M6" s="51"/>
      <c r="N6" s="51"/>
      <c r="O6" s="51"/>
      <c r="P6" s="51"/>
      <c r="Q6" s="51"/>
      <c r="R6" s="51"/>
      <c r="S6" s="52"/>
      <c r="T6" s="50" t="s">
        <v>8</v>
      </c>
      <c r="U6" s="51"/>
      <c r="V6" s="51"/>
      <c r="W6" s="51"/>
      <c r="X6" s="51"/>
      <c r="Y6" s="51"/>
      <c r="Z6" s="51"/>
      <c r="AA6" s="51"/>
      <c r="AB6" s="52"/>
    </row>
    <row r="7" spans="1:28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/>
    </row>
    <row r="12" spans="1:28" ht="15" customHeight="1">
      <c r="A12" s="9" t="s">
        <v>32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7"/>
      <c r="D18" s="7"/>
      <c r="E18" s="7"/>
      <c r="F18" s="7"/>
      <c r="G18" s="7"/>
      <c r="H18" s="10">
        <v>48750</v>
      </c>
      <c r="I18" s="7"/>
      <c r="J18" s="7"/>
      <c r="K18" s="10">
        <v>48750</v>
      </c>
      <c r="L18" s="7"/>
      <c r="M18" s="7"/>
      <c r="N18" s="7"/>
      <c r="O18" s="7"/>
      <c r="P18" s="7"/>
      <c r="Q18" s="10">
        <v>48750</v>
      </c>
      <c r="R18" s="10">
        <v>48750</v>
      </c>
      <c r="S18" s="7"/>
      <c r="T18" s="7"/>
      <c r="U18" s="7"/>
      <c r="V18" s="7"/>
      <c r="W18" s="7"/>
      <c r="X18" s="10">
        <v>48750</v>
      </c>
      <c r="Y18" s="7"/>
      <c r="Z18" s="7"/>
      <c r="AA18" s="10">
        <v>48750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2250218</v>
      </c>
      <c r="C27" s="10">
        <v>41678427.789999999</v>
      </c>
      <c r="D27" s="10">
        <v>43928645.789999999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114664.77</v>
      </c>
      <c r="C29" s="10">
        <v>48750</v>
      </c>
      <c r="D29" s="10">
        <v>163414.76999999999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8" t="s">
        <v>51</v>
      </c>
      <c r="B34" s="10">
        <v>2364882.77</v>
      </c>
      <c r="C34" s="10">
        <v>41727177.789999999</v>
      </c>
      <c r="D34" s="10">
        <v>44092060.560000002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7"/>
      <c r="C36" s="10">
        <v>3078451</v>
      </c>
      <c r="D36" s="10">
        <v>3078451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54</v>
      </c>
      <c r="B37" s="10">
        <v>114664.77</v>
      </c>
      <c r="C37" s="10">
        <v>48750</v>
      </c>
      <c r="D37" s="10">
        <v>163414.76999999999</v>
      </c>
      <c r="E37" s="4"/>
      <c r="F37" s="47" t="s">
        <v>61</v>
      </c>
      <c r="G37" s="47"/>
      <c r="H37" s="54" t="s">
        <v>62</v>
      </c>
      <c r="I37" s="54"/>
      <c r="J37" s="5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8" t="s">
        <v>55</v>
      </c>
      <c r="B38" s="10">
        <v>2250218</v>
      </c>
      <c r="C38" s="10">
        <v>38599976.789999999</v>
      </c>
      <c r="D38" s="10">
        <v>40850194.789999999</v>
      </c>
      <c r="E38" s="4"/>
      <c r="F38" s="47" t="s">
        <v>73</v>
      </c>
      <c r="G38" s="47"/>
      <c r="H38" s="45" t="s">
        <v>74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" customHeight="1">
      <c r="A39" s="8" t="s">
        <v>56</v>
      </c>
      <c r="B39" s="10">
        <v>9247016</v>
      </c>
      <c r="C39" s="10">
        <v>6559151</v>
      </c>
      <c r="D39" s="10">
        <v>15806167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114664.77</v>
      </c>
      <c r="C40" s="10">
        <v>48750</v>
      </c>
      <c r="D40" s="10">
        <v>163414.76999999999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8" t="s">
        <v>58</v>
      </c>
      <c r="B41" s="10">
        <v>9132351.2300000004</v>
      </c>
      <c r="C41" s="10">
        <v>6510401</v>
      </c>
      <c r="D41" s="10">
        <v>15642752.23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3.25">
      <c r="A42" s="3" t="s">
        <v>75</v>
      </c>
    </row>
  </sheetData>
  <mergeCells count="28">
    <mergeCell ref="F37:G37"/>
    <mergeCell ref="H37:J37"/>
    <mergeCell ref="F38:G38"/>
    <mergeCell ref="H38:I38"/>
    <mergeCell ref="G8:K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L8:Q8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2"/>
  <sheetViews>
    <sheetView view="pageBreakPreview" zoomScaleSheetLayoutView="100" workbookViewId="0">
      <selection activeCell="A25" sqref="A25:D25"/>
    </sheetView>
  </sheetViews>
  <sheetFormatPr defaultRowHeight="15"/>
  <cols>
    <col min="1" max="1" width="44.7109375" customWidth="1"/>
    <col min="2" max="2" width="14.85546875" customWidth="1"/>
    <col min="3" max="3" width="14.5703125" customWidth="1"/>
    <col min="4" max="4" width="14.28515625" customWidth="1"/>
    <col min="6" max="6" width="13.85546875" customWidth="1"/>
    <col min="18" max="18" width="11.85546875" customWidth="1"/>
    <col min="24" max="24" width="10.5703125" customWidth="1"/>
    <col min="27" max="27" width="11" customWidth="1"/>
    <col min="28" max="28" width="11.140625" customWidth="1"/>
  </cols>
  <sheetData>
    <row r="1" spans="1:29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9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9" ht="15" customHeight="1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9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9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  <c r="AC5" s="4"/>
    </row>
    <row r="6" spans="1:29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  <c r="AC6" s="4"/>
    </row>
    <row r="7" spans="1:29">
      <c r="A7" s="55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9">
      <c r="A8" s="56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9" ht="26.25">
      <c r="A9" s="57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9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9" ht="15" customHeight="1">
      <c r="A11" s="6" t="s">
        <v>31</v>
      </c>
      <c r="B11" s="7"/>
      <c r="C11" s="10">
        <v>130500</v>
      </c>
      <c r="D11" s="7"/>
      <c r="E11" s="7"/>
      <c r="F11" s="10">
        <v>130500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0">
        <v>130500</v>
      </c>
      <c r="S11" s="7"/>
      <c r="T11" s="7"/>
      <c r="U11" s="7"/>
      <c r="V11" s="7"/>
      <c r="W11" s="7"/>
      <c r="X11" s="10">
        <v>130500</v>
      </c>
      <c r="Y11" s="7"/>
      <c r="Z11" s="7"/>
      <c r="AA11" s="10">
        <v>130500</v>
      </c>
      <c r="AB11" s="8"/>
    </row>
    <row r="12" spans="1:29" ht="15" customHeight="1">
      <c r="A12" s="9" t="s">
        <v>32</v>
      </c>
      <c r="B12" s="7"/>
      <c r="C12" s="10">
        <v>130500</v>
      </c>
      <c r="D12" s="7"/>
      <c r="E12" s="7"/>
      <c r="F12" s="10">
        <v>130500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0">
        <v>130500</v>
      </c>
      <c r="S12" s="7"/>
      <c r="T12" s="7"/>
      <c r="U12" s="7"/>
      <c r="V12" s="7"/>
      <c r="W12" s="7"/>
      <c r="X12" s="10">
        <v>130500</v>
      </c>
      <c r="Y12" s="7"/>
      <c r="Z12" s="7"/>
      <c r="AA12" s="10">
        <v>130500</v>
      </c>
      <c r="AB12" s="8"/>
    </row>
    <row r="13" spans="1:29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9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9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9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19500</v>
      </c>
      <c r="D18" s="7"/>
      <c r="E18" s="7"/>
      <c r="F18" s="10">
        <v>19500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0">
        <v>19500</v>
      </c>
      <c r="S18" s="7"/>
      <c r="T18" s="7"/>
      <c r="U18" s="7"/>
      <c r="V18" s="7"/>
      <c r="W18" s="7"/>
      <c r="X18" s="10">
        <v>19500</v>
      </c>
      <c r="Y18" s="7"/>
      <c r="Z18" s="7"/>
      <c r="AA18" s="10">
        <v>19500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43928645.789999999</v>
      </c>
      <c r="C27" s="10">
        <v>828234</v>
      </c>
      <c r="D27" s="10">
        <v>44756879.789999999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65914.77</v>
      </c>
      <c r="C29" s="10">
        <v>19500</v>
      </c>
      <c r="D29" s="10">
        <v>85414.77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8" t="s">
        <v>51</v>
      </c>
      <c r="B34" s="10">
        <v>43994560.560000002</v>
      </c>
      <c r="C34" s="10">
        <v>847734</v>
      </c>
      <c r="D34" s="10">
        <v>44842294.560000002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10">
        <v>3078451</v>
      </c>
      <c r="C36" s="7"/>
      <c r="D36" s="10">
        <v>3078451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54</v>
      </c>
      <c r="B37" s="10">
        <v>65914.77</v>
      </c>
      <c r="C37" s="10">
        <v>150000</v>
      </c>
      <c r="D37" s="10">
        <v>215914.77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8" t="s">
        <v>55</v>
      </c>
      <c r="B38" s="10">
        <v>40850194.789999999</v>
      </c>
      <c r="C38" s="10">
        <v>697734</v>
      </c>
      <c r="D38" s="10">
        <v>41547928.789999999</v>
      </c>
      <c r="E38" s="4"/>
      <c r="F38" s="47" t="s">
        <v>77</v>
      </c>
      <c r="G38" s="47"/>
      <c r="H38" s="45" t="s">
        <v>78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" customHeight="1">
      <c r="A39" s="8" t="s">
        <v>56</v>
      </c>
      <c r="B39" s="10">
        <v>15806167</v>
      </c>
      <c r="C39" s="10">
        <v>7435367.79</v>
      </c>
      <c r="D39" s="10">
        <v>23241534.789999999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65914.77</v>
      </c>
      <c r="C40" s="10">
        <v>150000</v>
      </c>
      <c r="D40" s="10">
        <v>215914.77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8" t="s">
        <v>58</v>
      </c>
      <c r="B41" s="10">
        <v>15740252.23</v>
      </c>
      <c r="C41" s="10">
        <v>7285367.79</v>
      </c>
      <c r="D41" s="10">
        <v>23025620.02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3.25">
      <c r="A42" s="3" t="s">
        <v>79</v>
      </c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topLeftCell="A15" zoomScaleSheetLayoutView="100" workbookViewId="0">
      <selection activeCell="D39" sqref="D39"/>
    </sheetView>
  </sheetViews>
  <sheetFormatPr defaultRowHeight="15"/>
  <cols>
    <col min="1" max="1" width="46.5703125" customWidth="1"/>
    <col min="2" max="2" width="12.5703125" customWidth="1"/>
    <col min="3" max="4" width="13.42578125" customWidth="1"/>
    <col min="6" max="6" width="11.42578125" customWidth="1"/>
    <col min="8" max="8" width="11.85546875" customWidth="1"/>
    <col min="11" max="11" width="12.7109375" customWidth="1"/>
    <col min="17" max="17" width="13.140625" customWidth="1"/>
    <col min="18" max="18" width="12.85546875" customWidth="1"/>
    <col min="23" max="23" width="8.28515625" customWidth="1"/>
    <col min="24" max="24" width="12.42578125" customWidth="1"/>
    <col min="25" max="25" width="8.5703125" customWidth="1"/>
    <col min="26" max="26" width="7.7109375" customWidth="1"/>
    <col min="27" max="27" width="13.5703125" customWidth="1"/>
    <col min="28" max="28" width="10.42578125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</row>
    <row r="6" spans="1:28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</row>
    <row r="7" spans="1:28">
      <c r="A7" s="55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56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57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10">
        <v>3767463.64</v>
      </c>
      <c r="D11" s="7"/>
      <c r="E11" s="7"/>
      <c r="F11" s="10">
        <v>3767463.64</v>
      </c>
      <c r="G11" s="7"/>
      <c r="H11" s="10">
        <v>7679683.96</v>
      </c>
      <c r="I11" s="7"/>
      <c r="J11" s="7"/>
      <c r="K11" s="10">
        <v>7679683.96</v>
      </c>
      <c r="L11" s="7"/>
      <c r="M11" s="7"/>
      <c r="N11" s="7"/>
      <c r="O11" s="7"/>
      <c r="P11" s="7"/>
      <c r="Q11" s="10">
        <v>7679683.96</v>
      </c>
      <c r="R11" s="10">
        <v>11447147.6</v>
      </c>
      <c r="S11" s="7"/>
      <c r="T11" s="7"/>
      <c r="U11" s="7"/>
      <c r="V11" s="7"/>
      <c r="W11" s="7"/>
      <c r="X11" s="10">
        <v>11447147.6</v>
      </c>
      <c r="Y11" s="7"/>
      <c r="Z11" s="7"/>
      <c r="AA11" s="10">
        <v>11447147.6</v>
      </c>
      <c r="AB11" s="8"/>
    </row>
    <row r="12" spans="1:28" ht="15" customHeight="1">
      <c r="A12" s="9" t="s">
        <v>32</v>
      </c>
      <c r="B12" s="7"/>
      <c r="C12" s="10">
        <v>3767463.64</v>
      </c>
      <c r="D12" s="7"/>
      <c r="E12" s="7"/>
      <c r="F12" s="10">
        <v>3767463.64</v>
      </c>
      <c r="G12" s="7"/>
      <c r="H12" s="10">
        <v>7679683.96</v>
      </c>
      <c r="I12" s="7"/>
      <c r="J12" s="7"/>
      <c r="K12" s="10">
        <v>7679683.96</v>
      </c>
      <c r="L12" s="7"/>
      <c r="M12" s="7"/>
      <c r="N12" s="7"/>
      <c r="O12" s="7"/>
      <c r="P12" s="7"/>
      <c r="Q12" s="10">
        <v>7679683.96</v>
      </c>
      <c r="R12" s="10">
        <v>11447147.6</v>
      </c>
      <c r="S12" s="7"/>
      <c r="T12" s="7"/>
      <c r="U12" s="7"/>
      <c r="V12" s="7"/>
      <c r="W12" s="7"/>
      <c r="X12" s="10">
        <v>11447147.6</v>
      </c>
      <c r="Y12" s="7"/>
      <c r="Z12" s="7"/>
      <c r="AA12" s="10">
        <v>11447147.6</v>
      </c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164612.5</v>
      </c>
      <c r="D18" s="7"/>
      <c r="E18" s="7"/>
      <c r="F18" s="10">
        <v>164612.5</v>
      </c>
      <c r="G18" s="7"/>
      <c r="H18" s="10">
        <v>75742.210000000006</v>
      </c>
      <c r="I18" s="7"/>
      <c r="J18" s="7"/>
      <c r="K18" s="10">
        <v>75742.210000000006</v>
      </c>
      <c r="L18" s="7"/>
      <c r="M18" s="7"/>
      <c r="N18" s="7"/>
      <c r="O18" s="7"/>
      <c r="P18" s="7"/>
      <c r="Q18" s="10">
        <v>75742.210000000006</v>
      </c>
      <c r="R18" s="10">
        <v>240354.71</v>
      </c>
      <c r="S18" s="7"/>
      <c r="T18" s="7"/>
      <c r="U18" s="7"/>
      <c r="V18" s="7"/>
      <c r="W18" s="7"/>
      <c r="X18" s="10">
        <v>240354.71</v>
      </c>
      <c r="Y18" s="7"/>
      <c r="Z18" s="7"/>
      <c r="AA18" s="10">
        <v>240354.71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44756879.789999999</v>
      </c>
      <c r="C27" s="10">
        <v>40858245</v>
      </c>
      <c r="D27" s="10">
        <v>85615124.790000007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182914.77</v>
      </c>
      <c r="C29" s="10">
        <v>240354.71</v>
      </c>
      <c r="D29" s="10">
        <v>423269.48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16" t="s">
        <v>51</v>
      </c>
      <c r="B34" s="17">
        <v>44939794.560000002</v>
      </c>
      <c r="C34" s="17">
        <v>41098599.710000001</v>
      </c>
      <c r="D34" s="17">
        <v>86038394.269999996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10">
        <v>3078451</v>
      </c>
      <c r="C36" s="7"/>
      <c r="D36" s="10">
        <v>3078451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54</v>
      </c>
      <c r="B37" s="10">
        <v>1641908.77</v>
      </c>
      <c r="C37" s="10">
        <v>11687502.310000001</v>
      </c>
      <c r="D37" s="10">
        <v>13329411.08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3.5" customHeight="1">
      <c r="A38" s="16" t="s">
        <v>55</v>
      </c>
      <c r="B38" s="17">
        <v>40219434.789999999</v>
      </c>
      <c r="C38" s="17">
        <v>29411097.399999999</v>
      </c>
      <c r="D38" s="17">
        <v>69630532.189999998</v>
      </c>
      <c r="E38" s="4"/>
      <c r="F38" s="47" t="s">
        <v>81</v>
      </c>
      <c r="G38" s="47"/>
      <c r="H38" s="45" t="s">
        <v>81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7.75" customHeight="1">
      <c r="A39" s="16" t="s">
        <v>56</v>
      </c>
      <c r="B39" s="17">
        <v>23241534.789999999</v>
      </c>
      <c r="C39" s="17">
        <v>41840556</v>
      </c>
      <c r="D39" s="17">
        <v>65082090.789999999</v>
      </c>
      <c r="E39" s="4"/>
      <c r="F39" s="14">
        <f>+D39-65331297.05</f>
        <v>-249206.25999999791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1641908.77</v>
      </c>
      <c r="C40" s="10">
        <v>11687502.310000001</v>
      </c>
      <c r="D40" s="10">
        <v>13329411.08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16" t="s">
        <v>58</v>
      </c>
      <c r="B41" s="17">
        <v>21599626.02</v>
      </c>
      <c r="C41" s="17">
        <v>30153053.690000001</v>
      </c>
      <c r="D41" s="17">
        <v>51752679.710000001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7" customHeight="1">
      <c r="A42" s="3" t="s">
        <v>82</v>
      </c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.7" right="0.7" top="0.75" bottom="0.75" header="0.3" footer="0.3"/>
  <pageSetup paperSize="9" scale="7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2"/>
  <sheetViews>
    <sheetView view="pageBreakPreview" topLeftCell="A17" zoomScaleSheetLayoutView="100" workbookViewId="0">
      <selection activeCell="D34" sqref="D34:D41"/>
    </sheetView>
  </sheetViews>
  <sheetFormatPr defaultRowHeight="15"/>
  <cols>
    <col min="1" max="1" width="47.28515625" customWidth="1"/>
    <col min="2" max="2" width="13" customWidth="1"/>
    <col min="3" max="3" width="14" customWidth="1"/>
    <col min="4" max="4" width="14.85546875" customWidth="1"/>
    <col min="5" max="5" width="11.7109375" customWidth="1"/>
    <col min="6" max="6" width="12.7109375" customWidth="1"/>
    <col min="8" max="8" width="12.7109375" customWidth="1"/>
    <col min="10" max="10" width="11.7109375" customWidth="1"/>
    <col min="11" max="11" width="13.28515625" customWidth="1"/>
    <col min="17" max="17" width="13" customWidth="1"/>
    <col min="18" max="18" width="13.5703125" customWidth="1"/>
    <col min="24" max="24" width="13.28515625" customWidth="1"/>
    <col min="26" max="26" width="12.140625" customWidth="1"/>
    <col min="27" max="27" width="13.140625" customWidth="1"/>
    <col min="28" max="28" width="12.140625" customWidth="1"/>
  </cols>
  <sheetData>
    <row r="1" spans="1:29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9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9" ht="15" customHeight="1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9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9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  <c r="AC5" s="4"/>
    </row>
    <row r="6" spans="1:29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  <c r="AC6" s="4"/>
    </row>
    <row r="7" spans="1:29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9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9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9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9" ht="15" customHeight="1">
      <c r="A11" s="6" t="s">
        <v>31</v>
      </c>
      <c r="B11" s="7"/>
      <c r="C11" s="10">
        <v>3528270.56</v>
      </c>
      <c r="D11" s="7"/>
      <c r="E11" s="10">
        <v>494442.85</v>
      </c>
      <c r="F11" s="10">
        <v>4022713.41</v>
      </c>
      <c r="G11" s="7"/>
      <c r="H11" s="10">
        <v>15925715.82</v>
      </c>
      <c r="I11" s="7"/>
      <c r="J11" s="10">
        <v>1958387.86</v>
      </c>
      <c r="K11" s="10">
        <v>17884103.68</v>
      </c>
      <c r="L11" s="7"/>
      <c r="M11" s="7"/>
      <c r="N11" s="7"/>
      <c r="O11" s="7"/>
      <c r="P11" s="7"/>
      <c r="Q11" s="10">
        <v>17884103.68</v>
      </c>
      <c r="R11" s="10">
        <v>21906817.09</v>
      </c>
      <c r="S11" s="7"/>
      <c r="T11" s="7"/>
      <c r="U11" s="7"/>
      <c r="V11" s="7"/>
      <c r="W11" s="7"/>
      <c r="X11" s="10">
        <v>19453986.379999999</v>
      </c>
      <c r="Y11" s="7"/>
      <c r="Z11" s="10">
        <v>2452830.71</v>
      </c>
      <c r="AA11" s="10">
        <v>21906817.09</v>
      </c>
      <c r="AB11" s="8"/>
    </row>
    <row r="12" spans="1:29" ht="15" customHeight="1">
      <c r="A12" s="9" t="s">
        <v>32</v>
      </c>
      <c r="B12" s="7"/>
      <c r="C12" s="10">
        <v>3528270.56</v>
      </c>
      <c r="D12" s="7"/>
      <c r="E12" s="10">
        <v>494442.85</v>
      </c>
      <c r="F12" s="10">
        <v>4022713.41</v>
      </c>
      <c r="G12" s="7"/>
      <c r="H12" s="10">
        <v>15925715.82</v>
      </c>
      <c r="I12" s="7"/>
      <c r="J12" s="10">
        <v>1958387.86</v>
      </c>
      <c r="K12" s="10">
        <v>17884103.68</v>
      </c>
      <c r="L12" s="7"/>
      <c r="M12" s="7"/>
      <c r="N12" s="7"/>
      <c r="O12" s="7"/>
      <c r="P12" s="7"/>
      <c r="Q12" s="10">
        <v>17884103.68</v>
      </c>
      <c r="R12" s="10">
        <v>21906817.09</v>
      </c>
      <c r="S12" s="7"/>
      <c r="T12" s="7"/>
      <c r="U12" s="7"/>
      <c r="V12" s="7"/>
      <c r="W12" s="7"/>
      <c r="X12" s="10">
        <v>19453986.379999999</v>
      </c>
      <c r="Y12" s="7"/>
      <c r="Z12" s="10">
        <v>2452830.71</v>
      </c>
      <c r="AA12" s="10">
        <v>21906817.09</v>
      </c>
      <c r="AB12" s="8"/>
    </row>
    <row r="13" spans="1:29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9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9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9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134386.92000000001</v>
      </c>
      <c r="D18" s="7"/>
      <c r="E18" s="10">
        <v>24300</v>
      </c>
      <c r="F18" s="10">
        <v>158686.92000000001</v>
      </c>
      <c r="G18" s="7"/>
      <c r="H18" s="10">
        <v>1546199.39</v>
      </c>
      <c r="I18" s="7"/>
      <c r="J18" s="7"/>
      <c r="K18" s="10">
        <v>1546199.39</v>
      </c>
      <c r="L18" s="7"/>
      <c r="M18" s="7"/>
      <c r="N18" s="7"/>
      <c r="O18" s="7"/>
      <c r="P18" s="7"/>
      <c r="Q18" s="10">
        <v>1546199.39</v>
      </c>
      <c r="R18" s="10">
        <v>1704886.31</v>
      </c>
      <c r="S18" s="7"/>
      <c r="T18" s="7"/>
      <c r="U18" s="7"/>
      <c r="V18" s="7"/>
      <c r="W18" s="7"/>
      <c r="X18" s="10">
        <v>1680586.31</v>
      </c>
      <c r="Y18" s="7"/>
      <c r="Z18" s="10">
        <v>24300</v>
      </c>
      <c r="AA18" s="10">
        <v>1704886.31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27.7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85615124.790000007</v>
      </c>
      <c r="C27" s="10">
        <v>8103092</v>
      </c>
      <c r="D27" s="10">
        <v>93718216.790000007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423269.48</v>
      </c>
      <c r="C29" s="10">
        <v>1704886.31</v>
      </c>
      <c r="D29" s="10">
        <v>2128155.79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16" t="s">
        <v>51</v>
      </c>
      <c r="B34" s="17">
        <v>86038394.269999996</v>
      </c>
      <c r="C34" s="17">
        <v>9807978.3100000005</v>
      </c>
      <c r="D34" s="17">
        <v>95846372.579999998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10">
        <v>3078451</v>
      </c>
      <c r="C36" s="10">
        <v>19813604.559999999</v>
      </c>
      <c r="D36" s="10">
        <v>22892055.559999999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54</v>
      </c>
      <c r="B37" s="10">
        <v>13329411.08</v>
      </c>
      <c r="C37" s="10">
        <v>23611703.399999999</v>
      </c>
      <c r="D37" s="10">
        <v>36941114.479999997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16" t="s">
        <v>55</v>
      </c>
      <c r="B38" s="17">
        <v>69630532.189999998</v>
      </c>
      <c r="C38" s="17">
        <v>-33617329.649999999</v>
      </c>
      <c r="D38" s="17">
        <v>36013202.539999999</v>
      </c>
      <c r="E38" s="4"/>
      <c r="F38" s="47" t="s">
        <v>87</v>
      </c>
      <c r="G38" s="47"/>
      <c r="H38" s="45" t="s">
        <v>87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3.25" customHeight="1">
      <c r="A39" s="16" t="s">
        <v>103</v>
      </c>
      <c r="B39" s="17">
        <v>65331297.049999997</v>
      </c>
      <c r="C39" s="17">
        <v>9828994.2599999998</v>
      </c>
      <c r="D39" s="17">
        <v>75160291.310000002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13329411.08</v>
      </c>
      <c r="C40" s="10">
        <v>23611703.399999999</v>
      </c>
      <c r="D40" s="10">
        <v>36941114.479999997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16" t="s">
        <v>58</v>
      </c>
      <c r="B41" s="17">
        <v>52001885.969999999</v>
      </c>
      <c r="C41" s="17">
        <v>-13782709.140000001</v>
      </c>
      <c r="D41" s="17">
        <v>38219176.829999998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3.25">
      <c r="A42" s="3" t="s">
        <v>88</v>
      </c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topLeftCell="A16" zoomScaleSheetLayoutView="100" workbookViewId="0">
      <selection activeCell="A47" sqref="A47"/>
    </sheetView>
  </sheetViews>
  <sheetFormatPr defaultRowHeight="15"/>
  <cols>
    <col min="1" max="1" width="47.28515625" customWidth="1"/>
    <col min="2" max="2" width="15.5703125" customWidth="1"/>
    <col min="3" max="3" width="14" customWidth="1"/>
    <col min="4" max="4" width="14.140625" customWidth="1"/>
    <col min="6" max="6" width="11.42578125" customWidth="1"/>
    <col min="8" max="8" width="11.140625" customWidth="1"/>
    <col min="10" max="10" width="12.5703125" customWidth="1"/>
    <col min="11" max="11" width="11.28515625" customWidth="1"/>
    <col min="12" max="12" width="11.140625" customWidth="1"/>
    <col min="17" max="17" width="13.140625" customWidth="1"/>
    <col min="18" max="18" width="12.28515625" customWidth="1"/>
    <col min="24" max="24" width="12" customWidth="1"/>
    <col min="26" max="26" width="10.42578125" customWidth="1"/>
    <col min="27" max="28" width="12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83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 ht="6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</row>
    <row r="6" spans="1:28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</row>
    <row r="7" spans="1:28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10">
        <v>1283182.76</v>
      </c>
      <c r="D11" s="7"/>
      <c r="E11" s="7"/>
      <c r="F11" s="10">
        <v>1283182.76</v>
      </c>
      <c r="G11" s="7"/>
      <c r="H11" s="10">
        <v>177373.98</v>
      </c>
      <c r="I11" s="7"/>
      <c r="J11" s="7"/>
      <c r="K11" s="10">
        <v>177373.98</v>
      </c>
      <c r="L11" s="7"/>
      <c r="M11" s="7"/>
      <c r="N11" s="7"/>
      <c r="O11" s="7"/>
      <c r="P11" s="7"/>
      <c r="Q11" s="10">
        <v>177373.98</v>
      </c>
      <c r="R11" s="10">
        <v>1460556.74</v>
      </c>
      <c r="S11" s="7"/>
      <c r="T11" s="7"/>
      <c r="U11" s="7"/>
      <c r="V11" s="7"/>
      <c r="W11" s="7"/>
      <c r="X11" s="10">
        <v>1460556.74</v>
      </c>
      <c r="Y11" s="7"/>
      <c r="Z11" s="7"/>
      <c r="AA11" s="10">
        <v>1460556.74</v>
      </c>
      <c r="AB11" s="8"/>
    </row>
    <row r="12" spans="1:28" ht="15" customHeight="1">
      <c r="A12" s="9" t="s">
        <v>32</v>
      </c>
      <c r="B12" s="7"/>
      <c r="C12" s="10">
        <v>1283182.76</v>
      </c>
      <c r="D12" s="7"/>
      <c r="E12" s="7"/>
      <c r="F12" s="10">
        <v>1283182.76</v>
      </c>
      <c r="G12" s="7"/>
      <c r="H12" s="10">
        <v>177373.98</v>
      </c>
      <c r="I12" s="7"/>
      <c r="J12" s="7"/>
      <c r="K12" s="10">
        <v>177373.98</v>
      </c>
      <c r="L12" s="7"/>
      <c r="M12" s="7"/>
      <c r="N12" s="7"/>
      <c r="O12" s="7"/>
      <c r="P12" s="7"/>
      <c r="Q12" s="10">
        <v>177373.98</v>
      </c>
      <c r="R12" s="10">
        <v>1460556.74</v>
      </c>
      <c r="S12" s="7"/>
      <c r="T12" s="7"/>
      <c r="U12" s="7"/>
      <c r="V12" s="7"/>
      <c r="W12" s="7"/>
      <c r="X12" s="10">
        <v>1460556.74</v>
      </c>
      <c r="Y12" s="7"/>
      <c r="Z12" s="7"/>
      <c r="AA12" s="10">
        <v>1460556.74</v>
      </c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54624.44</v>
      </c>
      <c r="D18" s="7"/>
      <c r="E18" s="7"/>
      <c r="F18" s="10">
        <v>54624.44</v>
      </c>
      <c r="G18" s="7"/>
      <c r="H18" s="10">
        <v>36125.599999999999</v>
      </c>
      <c r="I18" s="7"/>
      <c r="J18" s="10">
        <v>110852.14</v>
      </c>
      <c r="K18" s="10">
        <v>146977.74</v>
      </c>
      <c r="L18" s="7"/>
      <c r="M18" s="7"/>
      <c r="N18" s="7"/>
      <c r="O18" s="7"/>
      <c r="P18" s="7"/>
      <c r="Q18" s="10">
        <v>146977.74</v>
      </c>
      <c r="R18" s="10">
        <v>201602.18</v>
      </c>
      <c r="S18" s="7"/>
      <c r="T18" s="7"/>
      <c r="U18" s="7"/>
      <c r="V18" s="7"/>
      <c r="W18" s="7"/>
      <c r="X18" s="10">
        <v>90750.04</v>
      </c>
      <c r="Y18" s="7"/>
      <c r="Z18" s="10">
        <v>110852.14</v>
      </c>
      <c r="AA18" s="10">
        <v>201602.18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30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93718216.790000007</v>
      </c>
      <c r="C27" s="10">
        <v>3504547</v>
      </c>
      <c r="D27" s="10">
        <v>97222763.790000007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2128155.79</v>
      </c>
      <c r="C29" s="10">
        <v>201602.18</v>
      </c>
      <c r="D29" s="10">
        <v>2329757.9700000002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16" t="s">
        <v>51</v>
      </c>
      <c r="B34" s="17">
        <v>95846372.579999998</v>
      </c>
      <c r="C34" s="17">
        <v>3706149.18</v>
      </c>
      <c r="D34" s="17">
        <v>99552521.760000005</v>
      </c>
      <c r="E34" s="4"/>
      <c r="F34" s="4"/>
      <c r="G34" s="4"/>
      <c r="H34" s="4"/>
      <c r="I34" s="4"/>
      <c r="J34" s="4"/>
      <c r="K34" s="4"/>
      <c r="L34" s="18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19"/>
      <c r="M35" s="4"/>
      <c r="N35" s="4"/>
      <c r="O35" s="2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105</v>
      </c>
      <c r="B36" s="10">
        <v>22967577.960000001</v>
      </c>
      <c r="C36" s="7"/>
      <c r="D36" s="10">
        <v>22967577.960000001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20"/>
      <c r="M36" s="4"/>
      <c r="N36" s="4"/>
      <c r="O36" s="2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104</v>
      </c>
      <c r="B37" s="10">
        <v>36865592.079999998</v>
      </c>
      <c r="C37" s="10">
        <v>1662158.92</v>
      </c>
      <c r="D37" s="10">
        <v>38527751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20"/>
      <c r="M37" s="4"/>
      <c r="N37" s="4"/>
      <c r="O37" s="2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16" t="s">
        <v>55</v>
      </c>
      <c r="B38" s="17">
        <v>36013202.539999999</v>
      </c>
      <c r="C38" s="17">
        <v>2043990.26</v>
      </c>
      <c r="D38" s="17">
        <v>38057192.799999997</v>
      </c>
      <c r="E38" s="4"/>
      <c r="F38" s="47" t="s">
        <v>84</v>
      </c>
      <c r="G38" s="47"/>
      <c r="H38" s="45" t="s">
        <v>84</v>
      </c>
      <c r="I38" s="45"/>
      <c r="J38" s="4"/>
      <c r="K38" s="4"/>
      <c r="L38" s="18"/>
      <c r="M38" s="4"/>
      <c r="N38" s="4"/>
      <c r="O38" s="2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4.75" customHeight="1">
      <c r="A39" s="16" t="s">
        <v>56</v>
      </c>
      <c r="B39" s="17">
        <v>75160291.310000002</v>
      </c>
      <c r="C39" s="17">
        <v>15806215</v>
      </c>
      <c r="D39" s="17">
        <v>90966506.310000002</v>
      </c>
      <c r="E39" s="4"/>
      <c r="F39" s="4"/>
      <c r="G39" s="4"/>
      <c r="H39" s="4"/>
      <c r="I39" s="4"/>
      <c r="J39" s="4"/>
      <c r="K39" s="4"/>
      <c r="L39" s="18"/>
      <c r="M39" s="4"/>
      <c r="N39" s="4"/>
      <c r="O39" s="2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106</v>
      </c>
      <c r="B40" s="10">
        <v>36865592.079999998</v>
      </c>
      <c r="C40" s="10">
        <v>1662158.92</v>
      </c>
      <c r="D40" s="10">
        <v>38527751</v>
      </c>
      <c r="E40" s="4"/>
      <c r="F40" s="4"/>
      <c r="G40" s="4"/>
      <c r="H40" s="4"/>
      <c r="I40" s="4"/>
      <c r="J40" s="4"/>
      <c r="K40" s="4"/>
      <c r="L40" s="20"/>
      <c r="M40" s="4"/>
      <c r="N40" s="4"/>
      <c r="O40" s="2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16" t="s">
        <v>58</v>
      </c>
      <c r="B41" s="17">
        <v>38294699.229999997</v>
      </c>
      <c r="C41" s="17">
        <v>14144056.08</v>
      </c>
      <c r="D41" s="17">
        <v>52438755.310000002</v>
      </c>
      <c r="E41" s="4"/>
      <c r="F41" s="4"/>
      <c r="G41" s="4"/>
      <c r="H41" s="4"/>
      <c r="I41" s="4"/>
      <c r="J41" s="4"/>
      <c r="K41" s="4"/>
      <c r="L41" s="18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7.75" customHeight="1">
      <c r="A42" s="3" t="s">
        <v>85</v>
      </c>
      <c r="L42" s="21"/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topLeftCell="A4" zoomScaleSheetLayoutView="100" workbookViewId="0">
      <selection activeCell="D34" sqref="D34:D41"/>
    </sheetView>
  </sheetViews>
  <sheetFormatPr defaultRowHeight="15"/>
  <cols>
    <col min="1" max="1" width="47.42578125" customWidth="1"/>
    <col min="2" max="2" width="12.5703125" customWidth="1"/>
    <col min="3" max="3" width="12.7109375" customWidth="1"/>
    <col min="4" max="4" width="13.85546875" customWidth="1"/>
    <col min="6" max="6" width="12.140625" customWidth="1"/>
    <col min="8" max="8" width="12.5703125" customWidth="1"/>
    <col min="10" max="10" width="11.5703125" customWidth="1"/>
    <col min="11" max="11" width="13.7109375" customWidth="1"/>
    <col min="17" max="17" width="11.5703125" customWidth="1"/>
    <col min="18" max="18" width="11.7109375" customWidth="1"/>
    <col min="24" max="24" width="11.42578125" customWidth="1"/>
    <col min="26" max="26" width="11.5703125" customWidth="1"/>
    <col min="27" max="28" width="11.85546875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89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 ht="6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</row>
    <row r="6" spans="1:28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</row>
    <row r="7" spans="1:28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10">
        <v>4976906.93</v>
      </c>
      <c r="D11" s="7"/>
      <c r="E11" s="10">
        <v>23518.74</v>
      </c>
      <c r="F11" s="10">
        <v>5000425.67</v>
      </c>
      <c r="G11" s="7"/>
      <c r="H11" s="10">
        <v>172723.22</v>
      </c>
      <c r="I11" s="7"/>
      <c r="J11" s="10">
        <v>846107.14</v>
      </c>
      <c r="K11" s="10">
        <v>1018830.36</v>
      </c>
      <c r="L11" s="7"/>
      <c r="M11" s="7"/>
      <c r="N11" s="7"/>
      <c r="O11" s="7"/>
      <c r="P11" s="7"/>
      <c r="Q11" s="10">
        <v>1018830.36</v>
      </c>
      <c r="R11" s="10">
        <v>6019256.0300000003</v>
      </c>
      <c r="S11" s="7"/>
      <c r="T11" s="7"/>
      <c r="U11" s="7"/>
      <c r="V11" s="7"/>
      <c r="W11" s="7"/>
      <c r="X11" s="10">
        <v>5149630.1500000004</v>
      </c>
      <c r="Y11" s="7"/>
      <c r="Z11" s="10">
        <v>869625.88</v>
      </c>
      <c r="AA11" s="10">
        <v>6019256.0300000003</v>
      </c>
      <c r="AB11" s="8"/>
    </row>
    <row r="12" spans="1:28" ht="15" customHeight="1">
      <c r="A12" s="9" t="s">
        <v>32</v>
      </c>
      <c r="B12" s="7"/>
      <c r="C12" s="10">
        <v>4976906.93</v>
      </c>
      <c r="D12" s="7"/>
      <c r="E12" s="10">
        <v>23518.74</v>
      </c>
      <c r="F12" s="10">
        <v>5000425.67</v>
      </c>
      <c r="G12" s="7"/>
      <c r="H12" s="10">
        <v>172723.22</v>
      </c>
      <c r="I12" s="7"/>
      <c r="J12" s="10">
        <v>846107.14</v>
      </c>
      <c r="K12" s="10">
        <v>1018830.36</v>
      </c>
      <c r="L12" s="7"/>
      <c r="M12" s="7"/>
      <c r="N12" s="7"/>
      <c r="O12" s="7"/>
      <c r="P12" s="7"/>
      <c r="Q12" s="10">
        <v>1018830.36</v>
      </c>
      <c r="R12" s="10">
        <v>6019256.0300000003</v>
      </c>
      <c r="S12" s="7"/>
      <c r="T12" s="7"/>
      <c r="U12" s="7"/>
      <c r="V12" s="7"/>
      <c r="W12" s="7"/>
      <c r="X12" s="10">
        <v>5149630.1500000004</v>
      </c>
      <c r="Y12" s="7"/>
      <c r="Z12" s="10">
        <v>869625.88</v>
      </c>
      <c r="AA12" s="10">
        <v>6019256.0300000003</v>
      </c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104682.24000000001</v>
      </c>
      <c r="D18" s="7"/>
      <c r="E18" s="10">
        <v>1331.26</v>
      </c>
      <c r="F18" s="10">
        <v>106013.5</v>
      </c>
      <c r="G18" s="7"/>
      <c r="H18" s="10">
        <v>6156.38</v>
      </c>
      <c r="I18" s="7"/>
      <c r="J18" s="7"/>
      <c r="K18" s="10">
        <v>6156.38</v>
      </c>
      <c r="L18" s="7"/>
      <c r="M18" s="7"/>
      <c r="N18" s="7"/>
      <c r="O18" s="7"/>
      <c r="P18" s="7"/>
      <c r="Q18" s="10">
        <v>6156.38</v>
      </c>
      <c r="R18" s="10">
        <v>112169.88</v>
      </c>
      <c r="S18" s="7"/>
      <c r="T18" s="7"/>
      <c r="U18" s="7"/>
      <c r="V18" s="7"/>
      <c r="W18" s="7"/>
      <c r="X18" s="10">
        <v>110838.62</v>
      </c>
      <c r="Y18" s="7"/>
      <c r="Z18" s="10">
        <v>1331.26</v>
      </c>
      <c r="AA18" s="10">
        <v>112169.88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7.2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97222763.790000007</v>
      </c>
      <c r="C27" s="10">
        <v>4183856</v>
      </c>
      <c r="D27" s="10">
        <v>101406619.79000001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2329757.9700000002</v>
      </c>
      <c r="C29" s="10">
        <v>112169.88</v>
      </c>
      <c r="D29" s="10">
        <v>2441927.85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16" t="s">
        <v>51</v>
      </c>
      <c r="B34" s="17">
        <v>99552521.760000005</v>
      </c>
      <c r="C34" s="17">
        <v>4296025.88</v>
      </c>
      <c r="D34" s="17">
        <v>103848547.64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10">
        <v>22967577.960000001</v>
      </c>
      <c r="C36" s="7"/>
      <c r="D36" s="10">
        <v>22967577.960000001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54</v>
      </c>
      <c r="B37" s="10">
        <v>38527751</v>
      </c>
      <c r="C37" s="10">
        <v>6131425.9100000001</v>
      </c>
      <c r="D37" s="10">
        <v>44659176.909999996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16" t="s">
        <v>55</v>
      </c>
      <c r="B38" s="17">
        <v>38057192.799999997</v>
      </c>
      <c r="C38" s="17">
        <v>-1835400.03</v>
      </c>
      <c r="D38" s="17">
        <v>36221792.770000003</v>
      </c>
      <c r="E38" s="4"/>
      <c r="F38" s="47" t="s">
        <v>90</v>
      </c>
      <c r="G38" s="47"/>
      <c r="H38" s="45" t="s">
        <v>91</v>
      </c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3.25" customHeight="1">
      <c r="A39" s="8" t="s">
        <v>56</v>
      </c>
      <c r="B39" s="10">
        <v>90966506.310000002</v>
      </c>
      <c r="C39" s="10">
        <v>5166167.18</v>
      </c>
      <c r="D39" s="10">
        <v>96132673.489999995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57</v>
      </c>
      <c r="B40" s="10">
        <v>38527751</v>
      </c>
      <c r="C40" s="10">
        <v>6131425.9100000001</v>
      </c>
      <c r="D40" s="10">
        <v>44659176.909999996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16" t="s">
        <v>58</v>
      </c>
      <c r="B41" s="17">
        <v>52438755.310000002</v>
      </c>
      <c r="C41" s="17">
        <v>-965258.73</v>
      </c>
      <c r="D41" s="17">
        <v>51473496.579999998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2.5">
      <c r="A42" s="24" t="s">
        <v>92</v>
      </c>
      <c r="B42" s="25"/>
      <c r="C42" s="25"/>
      <c r="D42" s="25"/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" right="0" top="0.25" bottom="0.25" header="0.3" footer="0.3"/>
  <pageSetup paperSize="9" scale="7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topLeftCell="A8" zoomScaleSheetLayoutView="100" workbookViewId="0">
      <selection activeCell="O29" sqref="O29"/>
    </sheetView>
  </sheetViews>
  <sheetFormatPr defaultRowHeight="15"/>
  <cols>
    <col min="1" max="1" width="47.5703125" customWidth="1"/>
    <col min="2" max="2" width="14.42578125" customWidth="1"/>
    <col min="3" max="3" width="12.140625" customWidth="1"/>
    <col min="4" max="4" width="14.140625" customWidth="1"/>
    <col min="6" max="6" width="12.85546875" customWidth="1"/>
    <col min="12" max="12" width="12.28515625" customWidth="1"/>
    <col min="14" max="14" width="9.85546875" bestFit="1" customWidth="1"/>
    <col min="17" max="17" width="10.85546875" customWidth="1"/>
    <col min="18" max="18" width="13" customWidth="1"/>
    <col min="24" max="24" width="11.5703125" customWidth="1"/>
    <col min="27" max="27" width="12.7109375" customWidth="1"/>
    <col min="28" max="28" width="11.42578125" customWidth="1"/>
  </cols>
  <sheetData>
    <row r="1" spans="1:2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ht="15" customHeight="1">
      <c r="A3" s="28" t="s">
        <v>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9" t="s">
        <v>4</v>
      </c>
      <c r="L5" s="30"/>
      <c r="M5" s="30"/>
      <c r="N5" s="30"/>
      <c r="O5" s="30"/>
      <c r="P5" s="30"/>
      <c r="Q5" s="30"/>
      <c r="R5" s="30"/>
      <c r="S5" s="31"/>
      <c r="T5" s="29" t="s">
        <v>5</v>
      </c>
      <c r="U5" s="30"/>
      <c r="V5" s="30"/>
      <c r="W5" s="30"/>
      <c r="X5" s="30"/>
      <c r="Y5" s="30"/>
      <c r="Z5" s="30"/>
      <c r="AA5" s="30"/>
      <c r="AB5" s="31"/>
    </row>
    <row r="6" spans="1:28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1"/>
      <c r="K6" s="29" t="s">
        <v>7</v>
      </c>
      <c r="L6" s="30"/>
      <c r="M6" s="30"/>
      <c r="N6" s="30"/>
      <c r="O6" s="30"/>
      <c r="P6" s="30"/>
      <c r="Q6" s="30"/>
      <c r="R6" s="30"/>
      <c r="S6" s="31"/>
      <c r="T6" s="29" t="s">
        <v>8</v>
      </c>
      <c r="U6" s="30"/>
      <c r="V6" s="30"/>
      <c r="W6" s="30"/>
      <c r="X6" s="30"/>
      <c r="Y6" s="30"/>
      <c r="Z6" s="30"/>
      <c r="AA6" s="30"/>
      <c r="AB6" s="31"/>
    </row>
    <row r="7" spans="1:28">
      <c r="A7" s="32" t="s">
        <v>9</v>
      </c>
      <c r="B7" s="35" t="s">
        <v>10</v>
      </c>
      <c r="C7" s="36"/>
      <c r="D7" s="36"/>
      <c r="E7" s="36"/>
      <c r="F7" s="37"/>
      <c r="G7" s="41" t="s">
        <v>11</v>
      </c>
      <c r="H7" s="42"/>
      <c r="I7" s="42"/>
      <c r="J7" s="42"/>
      <c r="K7" s="42"/>
      <c r="L7" s="42"/>
      <c r="M7" s="42"/>
      <c r="N7" s="42"/>
      <c r="O7" s="42"/>
      <c r="P7" s="42"/>
      <c r="Q7" s="43"/>
      <c r="R7" s="32" t="s">
        <v>12</v>
      </c>
      <c r="S7" s="35" t="s">
        <v>13</v>
      </c>
      <c r="T7" s="36"/>
      <c r="U7" s="36"/>
      <c r="V7" s="37"/>
      <c r="W7" s="35" t="s">
        <v>14</v>
      </c>
      <c r="X7" s="36"/>
      <c r="Y7" s="36"/>
      <c r="Z7" s="36"/>
      <c r="AA7" s="37"/>
      <c r="AB7" s="32" t="s">
        <v>15</v>
      </c>
    </row>
    <row r="8" spans="1:28">
      <c r="A8" s="33"/>
      <c r="B8" s="38"/>
      <c r="C8" s="39"/>
      <c r="D8" s="39"/>
      <c r="E8" s="39"/>
      <c r="F8" s="40"/>
      <c r="G8" s="41" t="s">
        <v>16</v>
      </c>
      <c r="H8" s="42"/>
      <c r="I8" s="42"/>
      <c r="J8" s="42"/>
      <c r="K8" s="43"/>
      <c r="L8" s="41" t="s">
        <v>17</v>
      </c>
      <c r="M8" s="42"/>
      <c r="N8" s="42"/>
      <c r="O8" s="42"/>
      <c r="P8" s="42"/>
      <c r="Q8" s="43"/>
      <c r="R8" s="33"/>
      <c r="S8" s="38"/>
      <c r="T8" s="39"/>
      <c r="U8" s="39"/>
      <c r="V8" s="40"/>
      <c r="W8" s="38"/>
      <c r="X8" s="39"/>
      <c r="Y8" s="39"/>
      <c r="Z8" s="39"/>
      <c r="AA8" s="40"/>
      <c r="AB8" s="33"/>
    </row>
    <row r="9" spans="1:28" ht="26.25">
      <c r="A9" s="34"/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23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23</v>
      </c>
      <c r="Q9" s="5" t="s">
        <v>22</v>
      </c>
      <c r="R9" s="34"/>
      <c r="S9" s="5" t="s">
        <v>18</v>
      </c>
      <c r="T9" s="5" t="s">
        <v>19</v>
      </c>
      <c r="U9" s="5" t="s">
        <v>21</v>
      </c>
      <c r="V9" s="5" t="s">
        <v>22</v>
      </c>
      <c r="W9" s="5" t="s">
        <v>18</v>
      </c>
      <c r="X9" s="5" t="s">
        <v>19</v>
      </c>
      <c r="Y9" s="5" t="s">
        <v>20</v>
      </c>
      <c r="Z9" s="5" t="s">
        <v>21</v>
      </c>
      <c r="AA9" s="5" t="s">
        <v>22</v>
      </c>
      <c r="AB9" s="34"/>
    </row>
    <row r="10" spans="1:28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24</v>
      </c>
      <c r="G10" s="2">
        <v>7</v>
      </c>
      <c r="H10" s="2">
        <v>8</v>
      </c>
      <c r="I10" s="2">
        <v>9</v>
      </c>
      <c r="J10" s="2">
        <v>10</v>
      </c>
      <c r="K10" s="2" t="s">
        <v>25</v>
      </c>
      <c r="L10" s="2">
        <v>12</v>
      </c>
      <c r="M10" s="2">
        <v>13</v>
      </c>
      <c r="N10" s="2">
        <v>14</v>
      </c>
      <c r="O10" s="2">
        <v>15</v>
      </c>
      <c r="P10" s="2" t="s">
        <v>26</v>
      </c>
      <c r="Q10" s="2" t="s">
        <v>27</v>
      </c>
      <c r="R10" s="2" t="s">
        <v>28</v>
      </c>
      <c r="S10" s="2">
        <v>19</v>
      </c>
      <c r="T10" s="2">
        <v>20</v>
      </c>
      <c r="U10" s="2">
        <v>21</v>
      </c>
      <c r="V10" s="2" t="s">
        <v>29</v>
      </c>
      <c r="W10" s="2">
        <v>23</v>
      </c>
      <c r="X10" s="2">
        <v>24</v>
      </c>
      <c r="Y10" s="2">
        <v>25</v>
      </c>
      <c r="Z10" s="2">
        <v>26</v>
      </c>
      <c r="AA10" s="2" t="s">
        <v>30</v>
      </c>
      <c r="AB10" s="2">
        <v>28</v>
      </c>
    </row>
    <row r="11" spans="1:28" ht="15" customHeight="1">
      <c r="A11" s="6" t="s">
        <v>31</v>
      </c>
      <c r="B11" s="7"/>
      <c r="C11" s="10">
        <v>8743713.9299999997</v>
      </c>
      <c r="D11" s="7"/>
      <c r="E11" s="7"/>
      <c r="F11" s="10">
        <v>8743713.9299999997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0">
        <v>8743713.9299999997</v>
      </c>
      <c r="S11" s="7"/>
      <c r="T11" s="7"/>
      <c r="U11" s="7"/>
      <c r="V11" s="7"/>
      <c r="W11" s="7"/>
      <c r="X11" s="10">
        <v>8743713.9299999997</v>
      </c>
      <c r="Y11" s="7"/>
      <c r="Z11" s="7"/>
      <c r="AA11" s="10">
        <v>8743713.9299999997</v>
      </c>
      <c r="AB11" s="8"/>
    </row>
    <row r="12" spans="1:28" ht="15" customHeight="1">
      <c r="A12" s="9" t="s">
        <v>32</v>
      </c>
      <c r="B12" s="7"/>
      <c r="C12" s="10">
        <v>8743713.9299999997</v>
      </c>
      <c r="D12" s="7"/>
      <c r="E12" s="7"/>
      <c r="F12" s="10">
        <v>8743713.9299999997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0">
        <v>8743713.9299999997</v>
      </c>
      <c r="S12" s="7"/>
      <c r="T12" s="7"/>
      <c r="U12" s="7"/>
      <c r="V12" s="7"/>
      <c r="W12" s="7"/>
      <c r="X12" s="10">
        <v>8743713.9299999997</v>
      </c>
      <c r="Y12" s="7"/>
      <c r="Z12" s="7"/>
      <c r="AA12" s="10">
        <v>8743713.9299999997</v>
      </c>
      <c r="AB12" s="8"/>
    </row>
    <row r="13" spans="1:28" ht="15" customHeight="1">
      <c r="A13" s="9" t="s">
        <v>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" customHeight="1">
      <c r="A14" s="6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>
      <c r="A15" s="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>
      <c r="A16" s="9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" customHeight="1">
      <c r="A17" s="6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" customHeight="1">
      <c r="A18" s="6" t="s">
        <v>36</v>
      </c>
      <c r="B18" s="7"/>
      <c r="C18" s="10">
        <v>199066.9</v>
      </c>
      <c r="D18" s="7"/>
      <c r="E18" s="7"/>
      <c r="F18" s="10">
        <v>199066.9</v>
      </c>
      <c r="G18" s="7"/>
      <c r="H18" s="10">
        <v>3937.5</v>
      </c>
      <c r="I18" s="7"/>
      <c r="J18" s="10">
        <v>47892.85</v>
      </c>
      <c r="K18" s="10">
        <v>51830.35</v>
      </c>
      <c r="L18" s="7"/>
      <c r="M18" s="7"/>
      <c r="N18" s="7"/>
      <c r="O18" s="7"/>
      <c r="P18" s="7"/>
      <c r="Q18" s="10">
        <v>51830.35</v>
      </c>
      <c r="R18" s="10">
        <v>250897.25</v>
      </c>
      <c r="S18" s="7"/>
      <c r="T18" s="7"/>
      <c r="U18" s="7"/>
      <c r="V18" s="7"/>
      <c r="W18" s="7"/>
      <c r="X18" s="10">
        <v>203004.4</v>
      </c>
      <c r="Y18" s="7"/>
      <c r="Z18" s="10">
        <v>47892.85</v>
      </c>
      <c r="AA18" s="10">
        <v>250897.25</v>
      </c>
      <c r="AB18" s="8"/>
    </row>
    <row r="19" spans="1:28" ht="15" customHeight="1">
      <c r="A19" s="6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" customHeight="1">
      <c r="A20" s="6" t="s">
        <v>38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" customHeight="1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>
      <c r="A23" s="44" t="s">
        <v>40</v>
      </c>
      <c r="B23" s="44"/>
      <c r="C23" s="4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30.75" customHeight="1">
      <c r="A24" s="5" t="s">
        <v>9</v>
      </c>
      <c r="B24" s="5" t="s">
        <v>41</v>
      </c>
      <c r="C24" s="5" t="s">
        <v>42</v>
      </c>
      <c r="D24" s="5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>
      <c r="A25" s="1">
        <v>-1</v>
      </c>
      <c r="B25" s="1">
        <v>-2</v>
      </c>
      <c r="C25" s="1">
        <v>-3</v>
      </c>
      <c r="D25" s="1">
        <v>-4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>
      <c r="A26" s="8" t="s">
        <v>44</v>
      </c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>
      <c r="A27" s="6" t="s">
        <v>45</v>
      </c>
      <c r="B27" s="10">
        <v>101406619.79000001</v>
      </c>
      <c r="C27" s="10">
        <v>6543192</v>
      </c>
      <c r="D27" s="10">
        <v>107949811.79000001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>
      <c r="A28" s="6" t="s">
        <v>46</v>
      </c>
      <c r="B28" s="7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>
      <c r="A29" s="6" t="s">
        <v>47</v>
      </c>
      <c r="B29" s="10">
        <v>2441927.85</v>
      </c>
      <c r="C29" s="10">
        <v>250897.25</v>
      </c>
      <c r="D29" s="10">
        <v>2692825.1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>
      <c r="A30" s="6" t="s">
        <v>48</v>
      </c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>
      <c r="A31" s="6" t="s">
        <v>49</v>
      </c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>
      <c r="A32" s="6" t="s">
        <v>39</v>
      </c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8" t="s">
        <v>50</v>
      </c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16" t="s">
        <v>51</v>
      </c>
      <c r="B34" s="17">
        <v>103848547.64</v>
      </c>
      <c r="C34" s="17">
        <v>6794089.25</v>
      </c>
      <c r="D34" s="17">
        <v>110642636.89</v>
      </c>
      <c r="E34" s="4"/>
      <c r="F34" s="4"/>
      <c r="G34" s="4"/>
      <c r="H34" s="4"/>
      <c r="I34" s="4"/>
      <c r="J34" s="4"/>
      <c r="K34" s="4"/>
      <c r="L34" s="18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8" t="s">
        <v>52</v>
      </c>
      <c r="B35" s="7"/>
      <c r="C35" s="7"/>
      <c r="D35" s="7"/>
      <c r="E35" s="4"/>
      <c r="F35" s="45" t="s">
        <v>59</v>
      </c>
      <c r="G35" s="45"/>
      <c r="H35" s="45" t="s">
        <v>60</v>
      </c>
      <c r="I35" s="45"/>
      <c r="J35" s="4"/>
      <c r="K35" s="4"/>
      <c r="L35" s="1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6" t="s">
        <v>53</v>
      </c>
      <c r="B36" s="10">
        <v>22967577.960000001</v>
      </c>
      <c r="C36" s="10">
        <v>6040244.0700000003</v>
      </c>
      <c r="D36" s="10">
        <v>29007822.030000001</v>
      </c>
      <c r="E36" s="4"/>
      <c r="F36" s="46" t="s">
        <v>70</v>
      </c>
      <c r="G36" s="46"/>
      <c r="H36" s="49" t="s">
        <v>71</v>
      </c>
      <c r="I36" s="49"/>
      <c r="J36" s="4"/>
      <c r="K36" s="4"/>
      <c r="L36" s="2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6" t="s">
        <v>107</v>
      </c>
      <c r="B37" s="10">
        <v>45024553.789999999</v>
      </c>
      <c r="C37" s="10">
        <v>8994611.1799999997</v>
      </c>
      <c r="D37" s="10">
        <v>54019164.969999999</v>
      </c>
      <c r="E37" s="4"/>
      <c r="F37" s="47" t="s">
        <v>61</v>
      </c>
      <c r="G37" s="47"/>
      <c r="H37" s="15" t="s">
        <v>62</v>
      </c>
      <c r="I37" s="15"/>
      <c r="J37" s="15"/>
      <c r="K37" s="4"/>
      <c r="L37" s="20"/>
      <c r="M37" s="4"/>
      <c r="N37" s="1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16" t="s">
        <v>55</v>
      </c>
      <c r="B38" s="17">
        <v>35856415.890000001</v>
      </c>
      <c r="C38" s="17">
        <v>-8240766</v>
      </c>
      <c r="D38" s="17">
        <v>27615649.890000001</v>
      </c>
      <c r="E38" s="4"/>
      <c r="F38" s="47" t="s">
        <v>94</v>
      </c>
      <c r="G38" s="47"/>
      <c r="H38" s="45" t="s">
        <v>95</v>
      </c>
      <c r="I38" s="45"/>
      <c r="J38" s="4"/>
      <c r="K38" s="4"/>
      <c r="L38" s="18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4.75" customHeight="1">
      <c r="A39" s="8" t="s">
        <v>56</v>
      </c>
      <c r="B39" s="10">
        <v>96132673.310000002</v>
      </c>
      <c r="C39" s="10">
        <v>7375503</v>
      </c>
      <c r="D39" s="10">
        <v>103508176.31</v>
      </c>
      <c r="E39" s="4"/>
      <c r="F39" s="4"/>
      <c r="G39" s="4"/>
      <c r="H39" s="4"/>
      <c r="I39" s="4"/>
      <c r="J39" s="4"/>
      <c r="K39" s="4"/>
      <c r="L39" s="20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8" t="s">
        <v>108</v>
      </c>
      <c r="B40" s="10">
        <v>45024553.789999999</v>
      </c>
      <c r="C40" s="10">
        <v>8994611.1799999997</v>
      </c>
      <c r="D40" s="10">
        <v>54019164.969999999</v>
      </c>
      <c r="E40" s="4"/>
      <c r="F40" s="4"/>
      <c r="G40" s="4"/>
      <c r="H40" s="4"/>
      <c r="I40" s="4"/>
      <c r="J40" s="4"/>
      <c r="K40" s="4"/>
      <c r="L40" s="20"/>
      <c r="M40" s="4"/>
      <c r="N40" s="1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16" t="s">
        <v>58</v>
      </c>
      <c r="B41" s="17">
        <v>51108119.520000003</v>
      </c>
      <c r="C41" s="17">
        <v>-1619108.18</v>
      </c>
      <c r="D41" s="17">
        <v>49489011.340000004</v>
      </c>
      <c r="E41" s="4"/>
      <c r="F41" s="4"/>
      <c r="G41" s="4"/>
      <c r="H41" s="4"/>
      <c r="I41" s="4"/>
      <c r="J41" s="4"/>
      <c r="K41" s="4"/>
      <c r="L41" s="18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3.25">
      <c r="A42" s="3" t="s">
        <v>96</v>
      </c>
    </row>
  </sheetData>
  <mergeCells count="27">
    <mergeCell ref="F37:G37"/>
    <mergeCell ref="F38:G38"/>
    <mergeCell ref="H38:I38"/>
    <mergeCell ref="G8:K8"/>
    <mergeCell ref="L8:Q8"/>
    <mergeCell ref="A23:D23"/>
    <mergeCell ref="F35:G35"/>
    <mergeCell ref="H35:I35"/>
    <mergeCell ref="F36:G36"/>
    <mergeCell ref="H36:I36"/>
    <mergeCell ref="A6:J6"/>
    <mergeCell ref="K6:S6"/>
    <mergeCell ref="T6:AB6"/>
    <mergeCell ref="A7:A9"/>
    <mergeCell ref="B7:F8"/>
    <mergeCell ref="G7:Q7"/>
    <mergeCell ref="R7:R9"/>
    <mergeCell ref="S7:V8"/>
    <mergeCell ref="W7:AA8"/>
    <mergeCell ref="AB7:AB9"/>
    <mergeCell ref="A1:AA1"/>
    <mergeCell ref="A2:AA2"/>
    <mergeCell ref="A3:AA3"/>
    <mergeCell ref="A4:AA4"/>
    <mergeCell ref="A5:J5"/>
    <mergeCell ref="K5:S5"/>
    <mergeCell ref="T5:AB5"/>
  </mergeCells>
  <printOptions horizontalCentered="1"/>
  <pageMargins left="0.7" right="0.7" top="0.75" bottom="0.75" header="0.3" footer="0.3"/>
  <pageSetup paperSize="9"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Jan2017</vt:lpstr>
      <vt:lpstr>Feb2017</vt:lpstr>
      <vt:lpstr>Mar2017</vt:lpstr>
      <vt:lpstr>Apr2017</vt:lpstr>
      <vt:lpstr>May2017</vt:lpstr>
      <vt:lpstr>Jun2017</vt:lpstr>
      <vt:lpstr>Jul2017</vt:lpstr>
      <vt:lpstr>Aug2017</vt:lpstr>
      <vt:lpstr>Sept2017</vt:lpstr>
      <vt:lpstr>Oct2017</vt:lpstr>
      <vt:lpstr>Nov2017</vt:lpstr>
      <vt:lpstr>Dec2017_ConsoDisb</vt:lpstr>
      <vt:lpstr>Dec2017_ConsoDisb!Print_Area</vt:lpstr>
      <vt:lpstr>'Nov2017'!Print_Area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lssoquiat</dc:creator>
  <cp:lastModifiedBy>lssoquiat</cp:lastModifiedBy>
  <cp:lastPrinted>2018-01-31T07:10:03Z</cp:lastPrinted>
  <dcterms:created xsi:type="dcterms:W3CDTF">2017-12-29T05:49:53Z</dcterms:created>
  <dcterms:modified xsi:type="dcterms:W3CDTF">2018-01-31T07:21:50Z</dcterms:modified>
</cp:coreProperties>
</file>