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20730" windowHeight="9165" activeTab="3"/>
  </bookViews>
  <sheets>
    <sheet name="tab1 lvl" sheetId="1" r:id="rId1"/>
    <sheet name="tab2 lvl" sheetId="2" r:id="rId2"/>
    <sheet name="tab1 percent" sheetId="4" r:id="rId3"/>
    <sheet name="tab2 percent" sheetId="5" r:id="rId4"/>
  </sheets>
  <externalReferences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AV15" i="2"/>
  <c r="AZ55" i="5" l="1"/>
  <c r="AX63" i="4"/>
  <c r="AX35" s="1"/>
  <c r="AY63"/>
  <c r="AY7" s="1"/>
  <c r="AW63"/>
  <c r="AW10" s="1"/>
  <c r="AY36" i="2"/>
  <c r="AX36"/>
  <c r="AW36"/>
  <c r="AY34"/>
  <c r="AX34"/>
  <c r="AW34"/>
  <c r="AY29"/>
  <c r="AX29"/>
  <c r="AW29"/>
  <c r="AZ22"/>
  <c r="BA22"/>
  <c r="BB22"/>
  <c r="BC22"/>
  <c r="BD22"/>
  <c r="AZ23"/>
  <c r="BA23"/>
  <c r="BB23"/>
  <c r="BC23"/>
  <c r="BD23"/>
  <c r="AY15"/>
  <c r="AX15"/>
  <c r="AW15"/>
  <c r="AY14"/>
  <c r="AX14"/>
  <c r="AW14"/>
  <c r="AW49"/>
  <c r="AX49"/>
  <c r="AY49"/>
  <c r="AW45"/>
  <c r="AW44" s="1"/>
  <c r="AX45"/>
  <c r="AY45"/>
  <c r="AW37"/>
  <c r="AX37"/>
  <c r="AY37"/>
  <c r="AW26"/>
  <c r="AX26"/>
  <c r="AY26"/>
  <c r="AW17"/>
  <c r="AX17"/>
  <c r="AY17"/>
  <c r="AW13"/>
  <c r="AX13"/>
  <c r="AY13"/>
  <c r="AX55"/>
  <c r="AX55" i="5" s="1"/>
  <c r="AY55" i="2"/>
  <c r="AY55" i="5" s="1"/>
  <c r="AW55" i="2"/>
  <c r="AW55" i="5" s="1"/>
  <c r="AW11" s="1"/>
  <c r="AW10" i="2"/>
  <c r="AW9" s="1"/>
  <c r="AX10"/>
  <c r="AY10"/>
  <c r="AW11"/>
  <c r="AX11"/>
  <c r="AY11"/>
  <c r="AY10" i="1"/>
  <c r="AX10"/>
  <c r="AX10" i="4" s="1"/>
  <c r="AX25" i="1"/>
  <c r="AX25" i="4" s="1"/>
  <c r="AY25" i="1"/>
  <c r="AW25"/>
  <c r="AW10"/>
  <c r="AW62"/>
  <c r="AW54" i="2" s="1"/>
  <c r="AX62" i="1"/>
  <c r="AY62"/>
  <c r="AY54" i="2" s="1"/>
  <c r="AY54" i="5" s="1"/>
  <c r="AZ62" i="1"/>
  <c r="AW53"/>
  <c r="AW53" i="4" s="1"/>
  <c r="AX53" i="1"/>
  <c r="AY53"/>
  <c r="AZ53"/>
  <c r="AW49"/>
  <c r="AW49" i="4" s="1"/>
  <c r="AX49" i="1"/>
  <c r="AX48" s="1"/>
  <c r="AY49"/>
  <c r="AZ49"/>
  <c r="AY48"/>
  <c r="AY48" i="4" s="1"/>
  <c r="AW40" i="1"/>
  <c r="AW40" i="4" s="1"/>
  <c r="AX40" i="1"/>
  <c r="AY40"/>
  <c r="AZ40"/>
  <c r="AW32"/>
  <c r="AW61" s="1"/>
  <c r="AW53" i="2" s="1"/>
  <c r="AX32" i="1"/>
  <c r="AY32"/>
  <c r="AZ32"/>
  <c r="AZ61" s="1"/>
  <c r="AZ60" s="1"/>
  <c r="AY29"/>
  <c r="AY38" s="1"/>
  <c r="AY45" s="1"/>
  <c r="AY57" s="1"/>
  <c r="AY6" i="2" s="1"/>
  <c r="AZ29" i="1"/>
  <c r="AW24"/>
  <c r="AX24"/>
  <c r="AX24" i="4" s="1"/>
  <c r="AZ24" i="1"/>
  <c r="AW13"/>
  <c r="AW29" s="1"/>
  <c r="AX13"/>
  <c r="AX29" s="1"/>
  <c r="AX38" s="1"/>
  <c r="AX38" i="4" s="1"/>
  <c r="AY13" i="1"/>
  <c r="AY13" i="4" s="1"/>
  <c r="AZ13" i="1"/>
  <c r="AW14"/>
  <c r="AW30" s="1"/>
  <c r="AW39" s="1"/>
  <c r="AW46" s="1"/>
  <c r="AX14"/>
  <c r="AX30" s="1"/>
  <c r="AX39" s="1"/>
  <c r="AX46" s="1"/>
  <c r="AX46" i="4" s="1"/>
  <c r="AY14" i="1"/>
  <c r="AY30" s="1"/>
  <c r="AY39" s="1"/>
  <c r="AY46" s="1"/>
  <c r="AY58" s="1"/>
  <c r="AY58" i="4" s="1"/>
  <c r="AZ14" i="1"/>
  <c r="AZ30" s="1"/>
  <c r="AZ39" s="1"/>
  <c r="AZ46" s="1"/>
  <c r="AZ58" s="1"/>
  <c r="AW20"/>
  <c r="AX20"/>
  <c r="AX20" i="4" s="1"/>
  <c r="AY20" i="1"/>
  <c r="AY20" i="4" s="1"/>
  <c r="AZ20" i="1"/>
  <c r="AW16"/>
  <c r="AX16"/>
  <c r="AX16" i="4" s="1"/>
  <c r="AY16" i="1"/>
  <c r="AY16" i="4" s="1"/>
  <c r="AZ16" i="1"/>
  <c r="AW12"/>
  <c r="AX12"/>
  <c r="AX12" i="4" s="1"/>
  <c r="AY12" i="1"/>
  <c r="AY12" i="4" s="1"/>
  <c r="AZ12" i="1"/>
  <c r="AW9"/>
  <c r="AX9"/>
  <c r="AX9" i="4" s="1"/>
  <c r="AY9" i="1"/>
  <c r="AY9" i="4" s="1"/>
  <c r="AZ9" i="1"/>
  <c r="AW5"/>
  <c r="AX5"/>
  <c r="AX5" i="4" s="1"/>
  <c r="AY5" i="1"/>
  <c r="AY5" i="4" s="1"/>
  <c r="AZ5" i="1"/>
  <c r="AX48" i="4" l="1"/>
  <c r="AW54" i="5"/>
  <c r="AX53" i="4"/>
  <c r="AX62"/>
  <c r="AX51"/>
  <c r="AX26"/>
  <c r="AX32"/>
  <c r="AX40"/>
  <c r="AX52"/>
  <c r="AX33"/>
  <c r="AX17"/>
  <c r="AX34"/>
  <c r="AX18"/>
  <c r="AX42"/>
  <c r="AX21"/>
  <c r="AX6"/>
  <c r="AX7"/>
  <c r="AY25"/>
  <c r="AW5"/>
  <c r="AW9"/>
  <c r="AW12"/>
  <c r="AW16"/>
  <c r="AW20"/>
  <c r="AW46"/>
  <c r="AW29"/>
  <c r="AY49"/>
  <c r="AY53"/>
  <c r="AW25"/>
  <c r="AY10"/>
  <c r="AW24"/>
  <c r="AY32"/>
  <c r="AX41"/>
  <c r="AX22"/>
  <c r="AX11"/>
  <c r="AY22" i="2"/>
  <c r="AY41" s="1"/>
  <c r="AY6" i="5"/>
  <c r="AW52" i="2"/>
  <c r="AW52" i="5" s="1"/>
  <c r="AW53"/>
  <c r="AX13"/>
  <c r="AX18"/>
  <c r="AX27"/>
  <c r="AX31"/>
  <c r="AX35"/>
  <c r="AX45"/>
  <c r="AX50"/>
  <c r="AX9"/>
  <c r="AX14"/>
  <c r="AX19"/>
  <c r="AX28"/>
  <c r="AX32"/>
  <c r="AX36"/>
  <c r="AX46"/>
  <c r="AX51"/>
  <c r="AX10"/>
  <c r="AX15"/>
  <c r="AX25"/>
  <c r="AX29"/>
  <c r="AX33"/>
  <c r="AX37"/>
  <c r="AX47"/>
  <c r="AX11"/>
  <c r="AX17"/>
  <c r="AX26"/>
  <c r="AX30"/>
  <c r="AX34"/>
  <c r="AX38"/>
  <c r="AX44"/>
  <c r="AX49"/>
  <c r="AY9"/>
  <c r="AY14"/>
  <c r="AY19"/>
  <c r="AY28"/>
  <c r="AY32"/>
  <c r="AY36"/>
  <c r="AY46"/>
  <c r="AY51"/>
  <c r="AY10"/>
  <c r="AY15"/>
  <c r="AY25"/>
  <c r="AY29"/>
  <c r="AY33"/>
  <c r="AY37"/>
  <c r="AY47"/>
  <c r="AY11"/>
  <c r="AY17"/>
  <c r="AY26"/>
  <c r="AY30"/>
  <c r="AY34"/>
  <c r="AY38"/>
  <c r="AY44"/>
  <c r="AY49"/>
  <c r="AY13"/>
  <c r="AY18"/>
  <c r="AY27"/>
  <c r="AY31"/>
  <c r="AY35"/>
  <c r="AY45"/>
  <c r="AY50"/>
  <c r="AY24" i="1"/>
  <c r="AY24" i="4" s="1"/>
  <c r="AY62"/>
  <c r="AY57"/>
  <c r="AW54"/>
  <c r="AW50"/>
  <c r="AY42"/>
  <c r="AY38"/>
  <c r="AW35"/>
  <c r="AZ48" i="1"/>
  <c r="AX54" i="4"/>
  <c r="AY51"/>
  <c r="AX50"/>
  <c r="AY46"/>
  <c r="AY41"/>
  <c r="AW39"/>
  <c r="AW34"/>
  <c r="AX30"/>
  <c r="AY26"/>
  <c r="AY21"/>
  <c r="AW18"/>
  <c r="AX14"/>
  <c r="AW13"/>
  <c r="AY11"/>
  <c r="AY6"/>
  <c r="AW47" i="5"/>
  <c r="AW37"/>
  <c r="AW33"/>
  <c r="AW29"/>
  <c r="AW25"/>
  <c r="AW15"/>
  <c r="AW10"/>
  <c r="AW48" i="1"/>
  <c r="AW48" i="4" s="1"/>
  <c r="AW62"/>
  <c r="AY54"/>
  <c r="AW52"/>
  <c r="AY50"/>
  <c r="AX49"/>
  <c r="AY45"/>
  <c r="AW42"/>
  <c r="AY40"/>
  <c r="AX39"/>
  <c r="AY35"/>
  <c r="AW33"/>
  <c r="AY30"/>
  <c r="AX29"/>
  <c r="AW22"/>
  <c r="AW17"/>
  <c r="AY14"/>
  <c r="AX13"/>
  <c r="AW7"/>
  <c r="AX54" i="2"/>
  <c r="AX54" i="5" s="1"/>
  <c r="AW51"/>
  <c r="AW46"/>
  <c r="AW36"/>
  <c r="AW32"/>
  <c r="AW28"/>
  <c r="AW19"/>
  <c r="AW14"/>
  <c r="AW9"/>
  <c r="AY7" i="2"/>
  <c r="AY5" s="1"/>
  <c r="AY5" i="5" s="1"/>
  <c r="AW61" i="4"/>
  <c r="AW51"/>
  <c r="AW41"/>
  <c r="AY39"/>
  <c r="AY34"/>
  <c r="AW32"/>
  <c r="AY29"/>
  <c r="AW26"/>
  <c r="AW21"/>
  <c r="AY18"/>
  <c r="AW11"/>
  <c r="AW6"/>
  <c r="AW50" i="5"/>
  <c r="AW45"/>
  <c r="AW35"/>
  <c r="AW31"/>
  <c r="AW27"/>
  <c r="AW18"/>
  <c r="AW13"/>
  <c r="AY52" i="4"/>
  <c r="AY33"/>
  <c r="AW30"/>
  <c r="AY22"/>
  <c r="AY17"/>
  <c r="AW14"/>
  <c r="AW49" i="5"/>
  <c r="AW44"/>
  <c r="AW38"/>
  <c r="AW34"/>
  <c r="AW30"/>
  <c r="AW26"/>
  <c r="AW17"/>
  <c r="AY44" i="2"/>
  <c r="AX44"/>
  <c r="AW25"/>
  <c r="AY9"/>
  <c r="AX9"/>
  <c r="AX25"/>
  <c r="AY25"/>
  <c r="AY61" i="1"/>
  <c r="AX61"/>
  <c r="AX58"/>
  <c r="AW58"/>
  <c r="AZ28"/>
  <c r="AY56"/>
  <c r="AY56" i="4" s="1"/>
  <c r="AX37" i="1"/>
  <c r="AX37" i="4" s="1"/>
  <c r="AY37" i="1"/>
  <c r="AY37" i="4" s="1"/>
  <c r="AX28" i="1"/>
  <c r="AX28" i="4" s="1"/>
  <c r="AZ38" i="1"/>
  <c r="AY44"/>
  <c r="AY44" i="4" s="1"/>
  <c r="AY28" i="1"/>
  <c r="AY28" i="4" s="1"/>
  <c r="AX45" i="1"/>
  <c r="AX45" i="4" s="1"/>
  <c r="AW60" i="1"/>
  <c r="AW60" i="4" s="1"/>
  <c r="AW28" i="1"/>
  <c r="AW28" i="4" s="1"/>
  <c r="AW38" i="1"/>
  <c r="AW38" i="4" s="1"/>
  <c r="F44" i="5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D44"/>
  <c r="AE44"/>
  <c r="AF44"/>
  <c r="AG44"/>
  <c r="AH44"/>
  <c r="AI44"/>
  <c r="AJ44"/>
  <c r="AR44"/>
  <c r="AV44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D45"/>
  <c r="AE45"/>
  <c r="AF45"/>
  <c r="AG45"/>
  <c r="AH45"/>
  <c r="AI45"/>
  <c r="AJ45"/>
  <c r="AR45"/>
  <c r="AV45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D46"/>
  <c r="AE46"/>
  <c r="AF46"/>
  <c r="AG46"/>
  <c r="AH46"/>
  <c r="AI46"/>
  <c r="AJ46"/>
  <c r="AR46"/>
  <c r="AV46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D47"/>
  <c r="AE47"/>
  <c r="AF47"/>
  <c r="AG47"/>
  <c r="AH47"/>
  <c r="AI47"/>
  <c r="AJ47"/>
  <c r="AR47"/>
  <c r="AV47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D49"/>
  <c r="AE49"/>
  <c r="AF49"/>
  <c r="AG49"/>
  <c r="AH49"/>
  <c r="AI49"/>
  <c r="AJ49"/>
  <c r="AR49"/>
  <c r="AV49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D50"/>
  <c r="AE50"/>
  <c r="AF50"/>
  <c r="AG50"/>
  <c r="AH50"/>
  <c r="AI50"/>
  <c r="AJ50"/>
  <c r="AR50"/>
  <c r="AV50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D51"/>
  <c r="AE51"/>
  <c r="AF51"/>
  <c r="AG51"/>
  <c r="AH51"/>
  <c r="AI51"/>
  <c r="AJ51"/>
  <c r="AR51"/>
  <c r="AV51"/>
  <c r="P53"/>
  <c r="P54"/>
  <c r="Q54"/>
  <c r="E51"/>
  <c r="E50"/>
  <c r="E49"/>
  <c r="E47"/>
  <c r="E46"/>
  <c r="E45"/>
  <c r="E44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D25"/>
  <c r="AE25"/>
  <c r="AF25"/>
  <c r="AG25"/>
  <c r="AH25"/>
  <c r="AI25"/>
  <c r="AJ25"/>
  <c r="AR25"/>
  <c r="AV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D26"/>
  <c r="AE26"/>
  <c r="AF26"/>
  <c r="AG26"/>
  <c r="AH26"/>
  <c r="AI26"/>
  <c r="AJ26"/>
  <c r="AR26"/>
  <c r="AV26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D27"/>
  <c r="AE27"/>
  <c r="AF27"/>
  <c r="AG27"/>
  <c r="AH27"/>
  <c r="AI27"/>
  <c r="AJ27"/>
  <c r="AR27"/>
  <c r="AV27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D28"/>
  <c r="AE28"/>
  <c r="AF28"/>
  <c r="AG28"/>
  <c r="AH28"/>
  <c r="AI28"/>
  <c r="AJ28"/>
  <c r="AR28"/>
  <c r="AV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D29"/>
  <c r="AE29"/>
  <c r="AF29"/>
  <c r="AG29"/>
  <c r="AH29"/>
  <c r="AI29"/>
  <c r="AJ29"/>
  <c r="AR29"/>
  <c r="AV29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D30"/>
  <c r="AE30"/>
  <c r="AF30"/>
  <c r="AG30"/>
  <c r="AH30"/>
  <c r="AI30"/>
  <c r="AJ30"/>
  <c r="AR30"/>
  <c r="AV30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D31"/>
  <c r="AE31"/>
  <c r="AF31"/>
  <c r="AG31"/>
  <c r="AH31"/>
  <c r="AI31"/>
  <c r="AJ31"/>
  <c r="AR31"/>
  <c r="AV31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D32"/>
  <c r="AE32"/>
  <c r="AF32"/>
  <c r="AG32"/>
  <c r="AH32"/>
  <c r="AI32"/>
  <c r="AJ32"/>
  <c r="AR32"/>
  <c r="AV32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D33"/>
  <c r="AE33"/>
  <c r="AF33"/>
  <c r="AG33"/>
  <c r="AH33"/>
  <c r="AI33"/>
  <c r="AJ33"/>
  <c r="AR33"/>
  <c r="AV33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D34"/>
  <c r="AE34"/>
  <c r="AF34"/>
  <c r="AG34"/>
  <c r="AH34"/>
  <c r="AI34"/>
  <c r="AJ34"/>
  <c r="AR34"/>
  <c r="AV34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D35"/>
  <c r="AE35"/>
  <c r="AF35"/>
  <c r="AG35"/>
  <c r="AH35"/>
  <c r="AI35"/>
  <c r="AJ35"/>
  <c r="AR35"/>
  <c r="AV35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D36"/>
  <c r="AE36"/>
  <c r="AF36"/>
  <c r="AG36"/>
  <c r="AH36"/>
  <c r="AI36"/>
  <c r="AJ36"/>
  <c r="AR36"/>
  <c r="AV36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D37"/>
  <c r="AE37"/>
  <c r="AF37"/>
  <c r="AG37"/>
  <c r="AH37"/>
  <c r="AI37"/>
  <c r="AJ37"/>
  <c r="AR37"/>
  <c r="AV37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D38"/>
  <c r="AE38"/>
  <c r="AF38"/>
  <c r="AG38"/>
  <c r="AH38"/>
  <c r="AI38"/>
  <c r="AJ38"/>
  <c r="AR38"/>
  <c r="AV38"/>
  <c r="E38"/>
  <c r="E37"/>
  <c r="E36"/>
  <c r="E35"/>
  <c r="E34"/>
  <c r="E33"/>
  <c r="E32"/>
  <c r="E31"/>
  <c r="E30"/>
  <c r="E29"/>
  <c r="E28"/>
  <c r="E27"/>
  <c r="E26"/>
  <c r="E25"/>
  <c r="H9"/>
  <c r="L9"/>
  <c r="M9"/>
  <c r="N9"/>
  <c r="O9"/>
  <c r="P9"/>
  <c r="Q9"/>
  <c r="R9"/>
  <c r="S9"/>
  <c r="T9"/>
  <c r="U9"/>
  <c r="V9"/>
  <c r="W9"/>
  <c r="X9"/>
  <c r="Y9"/>
  <c r="Z9"/>
  <c r="AA9"/>
  <c r="AB9"/>
  <c r="AD9"/>
  <c r="AE9"/>
  <c r="AF9"/>
  <c r="AG9"/>
  <c r="AH9"/>
  <c r="AI9"/>
  <c r="AJ9"/>
  <c r="AR9"/>
  <c r="H10"/>
  <c r="L10"/>
  <c r="M10"/>
  <c r="N10"/>
  <c r="O10"/>
  <c r="P10"/>
  <c r="Q10"/>
  <c r="R10"/>
  <c r="S10"/>
  <c r="T10"/>
  <c r="U10"/>
  <c r="V10"/>
  <c r="W10"/>
  <c r="X10"/>
  <c r="Y10"/>
  <c r="Z10"/>
  <c r="AA10"/>
  <c r="AB10"/>
  <c r="AD10"/>
  <c r="AE10"/>
  <c r="AF10"/>
  <c r="AG10"/>
  <c r="AH10"/>
  <c r="AI10"/>
  <c r="AJ10"/>
  <c r="AR10"/>
  <c r="AV10"/>
  <c r="H11"/>
  <c r="L11"/>
  <c r="M11"/>
  <c r="N11"/>
  <c r="O11"/>
  <c r="P11"/>
  <c r="Q11"/>
  <c r="R11"/>
  <c r="S11"/>
  <c r="T11"/>
  <c r="U11"/>
  <c r="V11"/>
  <c r="W11"/>
  <c r="X11"/>
  <c r="Y11"/>
  <c r="Z11"/>
  <c r="AA11"/>
  <c r="AB11"/>
  <c r="AD11"/>
  <c r="AE11"/>
  <c r="AF11"/>
  <c r="AG11"/>
  <c r="AH11"/>
  <c r="AI11"/>
  <c r="AJ11"/>
  <c r="AR1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D13"/>
  <c r="AE13"/>
  <c r="AF13"/>
  <c r="AG13"/>
  <c r="AH13"/>
  <c r="AI13"/>
  <c r="AJ13"/>
  <c r="AR13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D14"/>
  <c r="AE14"/>
  <c r="AF14"/>
  <c r="AG14"/>
  <c r="AH14"/>
  <c r="AI14"/>
  <c r="AJ14"/>
  <c r="AR14"/>
  <c r="AV14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D15"/>
  <c r="AE15"/>
  <c r="AF15"/>
  <c r="AG15"/>
  <c r="AH15"/>
  <c r="AI15"/>
  <c r="AJ15"/>
  <c r="AR15"/>
  <c r="AV15"/>
  <c r="H17"/>
  <c r="L17"/>
  <c r="M17"/>
  <c r="N17"/>
  <c r="O17"/>
  <c r="P17"/>
  <c r="Q17"/>
  <c r="R17"/>
  <c r="S17"/>
  <c r="T17"/>
  <c r="U17"/>
  <c r="V17"/>
  <c r="W17"/>
  <c r="X17"/>
  <c r="Y17"/>
  <c r="Z17"/>
  <c r="AA17"/>
  <c r="AB17"/>
  <c r="AD17"/>
  <c r="AE17"/>
  <c r="AF17"/>
  <c r="AG17"/>
  <c r="AH17"/>
  <c r="AI17"/>
  <c r="AJ17"/>
  <c r="AR17"/>
  <c r="AV17"/>
  <c r="H18"/>
  <c r="L18"/>
  <c r="M18"/>
  <c r="N18"/>
  <c r="O18"/>
  <c r="P18"/>
  <c r="Q18"/>
  <c r="R18"/>
  <c r="S18"/>
  <c r="T18"/>
  <c r="U18"/>
  <c r="V18"/>
  <c r="W18"/>
  <c r="X18"/>
  <c r="Y18"/>
  <c r="Z18"/>
  <c r="AA18"/>
  <c r="AB18"/>
  <c r="AD18"/>
  <c r="AE18"/>
  <c r="AF18"/>
  <c r="AG18"/>
  <c r="AH18"/>
  <c r="AI18"/>
  <c r="AJ18"/>
  <c r="AR18"/>
  <c r="AV18"/>
  <c r="H19"/>
  <c r="L19"/>
  <c r="M19"/>
  <c r="N19"/>
  <c r="O19"/>
  <c r="P19"/>
  <c r="Q19"/>
  <c r="R19"/>
  <c r="S19"/>
  <c r="T19"/>
  <c r="U19"/>
  <c r="V19"/>
  <c r="W19"/>
  <c r="X19"/>
  <c r="Y19"/>
  <c r="Z19"/>
  <c r="AA19"/>
  <c r="AB19"/>
  <c r="AD19"/>
  <c r="AE19"/>
  <c r="AF19"/>
  <c r="AG19"/>
  <c r="AH19"/>
  <c r="AI19"/>
  <c r="AJ19"/>
  <c r="AR19"/>
  <c r="AV19"/>
  <c r="E15"/>
  <c r="E14"/>
  <c r="E13"/>
  <c r="F41" i="4"/>
  <c r="G41"/>
  <c r="H41"/>
  <c r="M41"/>
  <c r="N41"/>
  <c r="O41"/>
  <c r="P41"/>
  <c r="Q41"/>
  <c r="R41"/>
  <c r="S41"/>
  <c r="T41"/>
  <c r="U41"/>
  <c r="V41"/>
  <c r="W41"/>
  <c r="X41"/>
  <c r="Y41"/>
  <c r="Z41"/>
  <c r="AA41"/>
  <c r="AB41"/>
  <c r="AD41"/>
  <c r="AE41"/>
  <c r="AF41"/>
  <c r="AG41"/>
  <c r="AH41"/>
  <c r="AI41"/>
  <c r="AJ41"/>
  <c r="AR41"/>
  <c r="AV41"/>
  <c r="F42"/>
  <c r="G42"/>
  <c r="H42"/>
  <c r="M42"/>
  <c r="N42"/>
  <c r="O42"/>
  <c r="P42"/>
  <c r="Q42"/>
  <c r="R42"/>
  <c r="S42"/>
  <c r="T42"/>
  <c r="U42"/>
  <c r="V42"/>
  <c r="W42"/>
  <c r="X42"/>
  <c r="Y42"/>
  <c r="Z42"/>
  <c r="AA42"/>
  <c r="AB42"/>
  <c r="AD42"/>
  <c r="AE42"/>
  <c r="AF42"/>
  <c r="AG42"/>
  <c r="AH42"/>
  <c r="AI42"/>
  <c r="AJ42"/>
  <c r="AR42"/>
  <c r="AV42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D50"/>
  <c r="AE50"/>
  <c r="AF50"/>
  <c r="AG50"/>
  <c r="AH50"/>
  <c r="AI50"/>
  <c r="AJ50"/>
  <c r="AR50"/>
  <c r="AV50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D51"/>
  <c r="AE51"/>
  <c r="AF51"/>
  <c r="AG51"/>
  <c r="AH51"/>
  <c r="AI51"/>
  <c r="AJ51"/>
  <c r="AR51"/>
  <c r="AV51"/>
  <c r="F52"/>
  <c r="G52"/>
  <c r="H52"/>
  <c r="I52"/>
  <c r="J52"/>
  <c r="K52"/>
  <c r="L52"/>
  <c r="Q52"/>
  <c r="R52"/>
  <c r="S52"/>
  <c r="T52"/>
  <c r="U52"/>
  <c r="V52"/>
  <c r="W52"/>
  <c r="X52"/>
  <c r="Y52"/>
  <c r="Z52"/>
  <c r="AA52"/>
  <c r="AB52"/>
  <c r="AD52"/>
  <c r="AE52"/>
  <c r="AF52"/>
  <c r="AG52"/>
  <c r="AH52"/>
  <c r="AI52"/>
  <c r="AJ52"/>
  <c r="AR52"/>
  <c r="AV52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D54"/>
  <c r="AE54"/>
  <c r="AF54"/>
  <c r="AG54"/>
  <c r="AH54"/>
  <c r="AI54"/>
  <c r="AJ54"/>
  <c r="AR54"/>
  <c r="AV54"/>
  <c r="E52"/>
  <c r="E51"/>
  <c r="E50"/>
  <c r="E42"/>
  <c r="E41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D33"/>
  <c r="AE33"/>
  <c r="AF33"/>
  <c r="AG33"/>
  <c r="AH33"/>
  <c r="AI33"/>
  <c r="AJ33"/>
  <c r="AR33"/>
  <c r="AV33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D34"/>
  <c r="AE34"/>
  <c r="AF34"/>
  <c r="AG34"/>
  <c r="AH34"/>
  <c r="AI34"/>
  <c r="AJ34"/>
  <c r="AR34"/>
  <c r="AV34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D35"/>
  <c r="AE35"/>
  <c r="AF35"/>
  <c r="AG35"/>
  <c r="AH35"/>
  <c r="AI35"/>
  <c r="AJ35"/>
  <c r="AR35"/>
  <c r="AV35"/>
  <c r="E35"/>
  <c r="E34"/>
  <c r="E33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D26"/>
  <c r="AE26"/>
  <c r="AF26"/>
  <c r="AG26"/>
  <c r="AH26"/>
  <c r="AI26"/>
  <c r="AJ26"/>
  <c r="AR26"/>
  <c r="AV26"/>
  <c r="E26"/>
  <c r="H21"/>
  <c r="M21"/>
  <c r="N21"/>
  <c r="O21"/>
  <c r="P21"/>
  <c r="Q21"/>
  <c r="R21"/>
  <c r="S21"/>
  <c r="T21"/>
  <c r="U21"/>
  <c r="V21"/>
  <c r="W21"/>
  <c r="X21"/>
  <c r="Y21"/>
  <c r="Z21"/>
  <c r="AA21"/>
  <c r="AB21"/>
  <c r="AD21"/>
  <c r="AE21"/>
  <c r="AF21"/>
  <c r="AG21"/>
  <c r="AH21"/>
  <c r="AI21"/>
  <c r="AJ21"/>
  <c r="AR21"/>
  <c r="AV21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D22"/>
  <c r="AE22"/>
  <c r="AF22"/>
  <c r="AG22"/>
  <c r="AH22"/>
  <c r="AI22"/>
  <c r="AJ22"/>
  <c r="AR22"/>
  <c r="AV22"/>
  <c r="E22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D17"/>
  <c r="AE17"/>
  <c r="AF17"/>
  <c r="AG17"/>
  <c r="AH17"/>
  <c r="AI17"/>
  <c r="AJ17"/>
  <c r="AR17"/>
  <c r="AV17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D18"/>
  <c r="AE18"/>
  <c r="AF18"/>
  <c r="AG18"/>
  <c r="AH18"/>
  <c r="AI18"/>
  <c r="AJ18"/>
  <c r="AR18"/>
  <c r="AV18"/>
  <c r="E18"/>
  <c r="E17"/>
  <c r="R10"/>
  <c r="F11"/>
  <c r="G11"/>
  <c r="H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D11"/>
  <c r="AE11"/>
  <c r="AF11"/>
  <c r="AG11"/>
  <c r="AH11"/>
  <c r="AI11"/>
  <c r="AJ11"/>
  <c r="AR11"/>
  <c r="E11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D6"/>
  <c r="AE6"/>
  <c r="AF6"/>
  <c r="AG6"/>
  <c r="AH6"/>
  <c r="AI6"/>
  <c r="AJ6"/>
  <c r="AR6"/>
  <c r="AV6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D7"/>
  <c r="AE7"/>
  <c r="AF7"/>
  <c r="AG7"/>
  <c r="AH7"/>
  <c r="AI7"/>
  <c r="AJ7"/>
  <c r="AR7"/>
  <c r="AV7"/>
  <c r="E7"/>
  <c r="E6"/>
  <c r="AU55" i="5"/>
  <c r="AU47" s="1"/>
  <c r="AT55"/>
  <c r="AT46" s="1"/>
  <c r="AS55"/>
  <c r="AS45" s="1"/>
  <c r="AQ55"/>
  <c r="AQ47" s="1"/>
  <c r="AP55"/>
  <c r="AP46" s="1"/>
  <c r="AO55"/>
  <c r="AO45" s="1"/>
  <c r="AN55"/>
  <c r="AN44" s="1"/>
  <c r="AM55"/>
  <c r="AM47" s="1"/>
  <c r="AL55"/>
  <c r="AL46" s="1"/>
  <c r="AK55"/>
  <c r="AK45" s="1"/>
  <c r="AC55"/>
  <c r="AC45" s="1"/>
  <c r="AU63" i="4"/>
  <c r="AU21" s="1"/>
  <c r="AT63"/>
  <c r="AT17" s="1"/>
  <c r="AS63"/>
  <c r="AS26" s="1"/>
  <c r="AQ63"/>
  <c r="AQ22" s="1"/>
  <c r="AP63"/>
  <c r="AP33" s="1"/>
  <c r="AO63"/>
  <c r="AO35" s="1"/>
  <c r="AN63"/>
  <c r="AN11" s="1"/>
  <c r="AM63"/>
  <c r="AM35" s="1"/>
  <c r="AL63"/>
  <c r="AL26" s="1"/>
  <c r="AK63"/>
  <c r="AK33" s="1"/>
  <c r="AC63"/>
  <c r="AC17" s="1"/>
  <c r="AU55" i="2"/>
  <c r="AT55"/>
  <c r="AS55"/>
  <c r="AQ55"/>
  <c r="AP55"/>
  <c r="AO55"/>
  <c r="AN55"/>
  <c r="AM55"/>
  <c r="AL55"/>
  <c r="AK55"/>
  <c r="AC55"/>
  <c r="AV54"/>
  <c r="AV54" i="5" s="1"/>
  <c r="AU54" i="2"/>
  <c r="AU54" i="5" s="1"/>
  <c r="AT54" i="2"/>
  <c r="AT54" i="5" s="1"/>
  <c r="AS54" i="2"/>
  <c r="AR54"/>
  <c r="AR54" i="5" s="1"/>
  <c r="AQ54" i="2"/>
  <c r="AQ54" i="5" s="1"/>
  <c r="AP54" i="2"/>
  <c r="AP54" i="5" s="1"/>
  <c r="AO54" i="2"/>
  <c r="AN54"/>
  <c r="AM54"/>
  <c r="AL54"/>
  <c r="AL54" i="5" s="1"/>
  <c r="AK54" i="2"/>
  <c r="AJ54"/>
  <c r="AJ54" i="5" s="1"/>
  <c r="AI54" i="2"/>
  <c r="AI54" i="5" s="1"/>
  <c r="AH54" i="2"/>
  <c r="AH54" i="5" s="1"/>
  <c r="AG54" i="2"/>
  <c r="AG54" i="5" s="1"/>
  <c r="AF54" i="2"/>
  <c r="AF54" i="5" s="1"/>
  <c r="AE54" i="2"/>
  <c r="AE54" i="5" s="1"/>
  <c r="AD54" i="2"/>
  <c r="AD54" i="5" s="1"/>
  <c r="AC54" i="2"/>
  <c r="AB54"/>
  <c r="AB54" i="5" s="1"/>
  <c r="AA54" i="2"/>
  <c r="AA54" i="5" s="1"/>
  <c r="Z54" i="2"/>
  <c r="Z54" i="5" s="1"/>
  <c r="Y54" i="2"/>
  <c r="Y54" i="5" s="1"/>
  <c r="X54" i="2"/>
  <c r="X54" i="5" s="1"/>
  <c r="W54" i="2"/>
  <c r="W54" i="5" s="1"/>
  <c r="V54" i="2"/>
  <c r="V54" i="5" s="1"/>
  <c r="U54" i="2"/>
  <c r="U54" i="5" s="1"/>
  <c r="T54" i="2"/>
  <c r="T54" i="5" s="1"/>
  <c r="S54" i="2"/>
  <c r="S54" i="5" s="1"/>
  <c r="R54" i="2"/>
  <c r="R54" i="5" s="1"/>
  <c r="O54" i="2"/>
  <c r="O54" i="5" s="1"/>
  <c r="N54" i="2"/>
  <c r="N54" i="5" s="1"/>
  <c r="M54" i="2"/>
  <c r="M54" i="5" s="1"/>
  <c r="L54" i="2"/>
  <c r="L54" i="5" s="1"/>
  <c r="K54" i="2"/>
  <c r="K54" i="5" s="1"/>
  <c r="J54" i="2"/>
  <c r="J54" i="5" s="1"/>
  <c r="I54" i="2"/>
  <c r="I54" i="5" s="1"/>
  <c r="H54" i="2"/>
  <c r="H54" i="5" s="1"/>
  <c r="G54" i="2"/>
  <c r="G54" i="5" s="1"/>
  <c r="F54" i="2"/>
  <c r="F54" i="5" s="1"/>
  <c r="E54" i="2"/>
  <c r="E54" i="5" s="1"/>
  <c r="AV53" i="2"/>
  <c r="AV53" i="5" s="1"/>
  <c r="AU53" i="2"/>
  <c r="AT53"/>
  <c r="AT53" i="5" s="1"/>
  <c r="AS53" i="2"/>
  <c r="AS52" s="1"/>
  <c r="AS52" i="5" s="1"/>
  <c r="AR53" i="2"/>
  <c r="AR53" i="5" s="1"/>
  <c r="AQ53" i="2"/>
  <c r="AP53"/>
  <c r="AO53"/>
  <c r="AO52" s="1"/>
  <c r="AO52" i="5" s="1"/>
  <c r="AN53" i="2"/>
  <c r="AN53" i="5" s="1"/>
  <c r="AM53" i="2"/>
  <c r="AL53"/>
  <c r="AL53" i="5" s="1"/>
  <c r="AK53" i="2"/>
  <c r="AK52" s="1"/>
  <c r="AK52" i="5" s="1"/>
  <c r="AJ53" i="2"/>
  <c r="AJ53" i="5" s="1"/>
  <c r="AI53" i="2"/>
  <c r="AH53"/>
  <c r="AH53" i="5" s="1"/>
  <c r="AG53" i="2"/>
  <c r="AG52" s="1"/>
  <c r="AG52" i="5" s="1"/>
  <c r="AF53" i="2"/>
  <c r="AF53" i="5" s="1"/>
  <c r="AE53" i="2"/>
  <c r="AD53"/>
  <c r="AD53" i="5" s="1"/>
  <c r="AC53" i="2"/>
  <c r="AC52" s="1"/>
  <c r="AC52" i="5" s="1"/>
  <c r="AB53" i="2"/>
  <c r="AB53" i="5" s="1"/>
  <c r="AA53" i="2"/>
  <c r="Z53"/>
  <c r="Z53" i="5" s="1"/>
  <c r="Y53" i="2"/>
  <c r="Y52" s="1"/>
  <c r="Y52" i="5" s="1"/>
  <c r="X53" i="2"/>
  <c r="X53" i="5" s="1"/>
  <c r="W53" i="2"/>
  <c r="V53"/>
  <c r="V53" i="5" s="1"/>
  <c r="U53" i="2"/>
  <c r="U52" s="1"/>
  <c r="U52" i="5" s="1"/>
  <c r="T53" i="2"/>
  <c r="T53" i="5" s="1"/>
  <c r="S53" i="2"/>
  <c r="R53"/>
  <c r="R53" i="5" s="1"/>
  <c r="Q53" i="2"/>
  <c r="Q52" s="1"/>
  <c r="Q52" i="5" s="1"/>
  <c r="O53" i="2"/>
  <c r="O53" i="5" s="1"/>
  <c r="N53" i="2"/>
  <c r="N53" i="5" s="1"/>
  <c r="M53" i="2"/>
  <c r="M53" i="5" s="1"/>
  <c r="L53" i="2"/>
  <c r="L53" i="5" s="1"/>
  <c r="K53" i="2"/>
  <c r="K53" i="5" s="1"/>
  <c r="J53" i="2"/>
  <c r="J53" i="5" s="1"/>
  <c r="I53" i="2"/>
  <c r="I53" i="5" s="1"/>
  <c r="H53" i="2"/>
  <c r="H53" i="5" s="1"/>
  <c r="G53" i="2"/>
  <c r="G53" i="5" s="1"/>
  <c r="F53" i="2"/>
  <c r="F53" i="5" s="1"/>
  <c r="E53" i="2"/>
  <c r="E53" i="5" s="1"/>
  <c r="AV52" i="2"/>
  <c r="AV52" i="5" s="1"/>
  <c r="AT52" i="2"/>
  <c r="AT52" i="5" s="1"/>
  <c r="AR52" i="2"/>
  <c r="AR52" i="5" s="1"/>
  <c r="AP52" i="2"/>
  <c r="AP52" i="5" s="1"/>
  <c r="AN52" i="2"/>
  <c r="AN52" i="5" s="1"/>
  <c r="AL52" i="2"/>
  <c r="AL52" i="5" s="1"/>
  <c r="AJ52" i="2"/>
  <c r="AJ52" i="5" s="1"/>
  <c r="AH52" i="2"/>
  <c r="AH52" i="5" s="1"/>
  <c r="AF52" i="2"/>
  <c r="AF52" i="5" s="1"/>
  <c r="AD52" i="2"/>
  <c r="AD52" i="5" s="1"/>
  <c r="AB52" i="2"/>
  <c r="AB52" i="5" s="1"/>
  <c r="Z52" i="2"/>
  <c r="Z52" i="5" s="1"/>
  <c r="X52" i="2"/>
  <c r="X52" i="5" s="1"/>
  <c r="V52" i="2"/>
  <c r="V52" i="5" s="1"/>
  <c r="T52" i="2"/>
  <c r="T52" i="5" s="1"/>
  <c r="R52" i="2"/>
  <c r="R52" i="5" s="1"/>
  <c r="P52" i="2"/>
  <c r="P52" i="5" s="1"/>
  <c r="O52" i="2"/>
  <c r="O52" i="5" s="1"/>
  <c r="N52" i="2"/>
  <c r="N52" i="5" s="1"/>
  <c r="K52" i="2"/>
  <c r="K52" i="5" s="1"/>
  <c r="J52" i="2"/>
  <c r="J52" i="5" s="1"/>
  <c r="G52" i="2"/>
  <c r="G52" i="5" s="1"/>
  <c r="F52" i="2"/>
  <c r="F52" i="5" s="1"/>
  <c r="AV49" i="2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AV45"/>
  <c r="AU45"/>
  <c r="AT45"/>
  <c r="AS45"/>
  <c r="AR45"/>
  <c r="AQ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P36"/>
  <c r="O36"/>
  <c r="N36"/>
  <c r="M36"/>
  <c r="L36"/>
  <c r="K36"/>
  <c r="J36"/>
  <c r="I36"/>
  <c r="H36"/>
  <c r="G36"/>
  <c r="F36"/>
  <c r="E36"/>
  <c r="AV34"/>
  <c r="AV26" s="1"/>
  <c r="AV25" s="1"/>
  <c r="AU34"/>
  <c r="AT34"/>
  <c r="AT26" s="1"/>
  <c r="AT25" s="1"/>
  <c r="AS34"/>
  <c r="AR34"/>
  <c r="AR26" s="1"/>
  <c r="AR25" s="1"/>
  <c r="AQ34"/>
  <c r="AP34"/>
  <c r="AP26" s="1"/>
  <c r="AP25" s="1"/>
  <c r="AO34"/>
  <c r="AN34"/>
  <c r="AN26" s="1"/>
  <c r="AN25" s="1"/>
  <c r="AM34"/>
  <c r="AL34"/>
  <c r="AL26" s="1"/>
  <c r="AL25" s="1"/>
  <c r="AK34"/>
  <c r="AJ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U26"/>
  <c r="AS26"/>
  <c r="AQ26"/>
  <c r="AO26"/>
  <c r="AM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AU25"/>
  <c r="AS25"/>
  <c r="AQ25"/>
  <c r="AO25"/>
  <c r="AM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K19"/>
  <c r="K19" i="5" s="1"/>
  <c r="J19" i="2"/>
  <c r="J19" i="5" s="1"/>
  <c r="I19" i="2"/>
  <c r="I19" i="5" s="1"/>
  <c r="G19" i="2"/>
  <c r="G19" i="5" s="1"/>
  <c r="F19" i="2"/>
  <c r="F11" s="1"/>
  <c r="E19"/>
  <c r="E19" i="5" s="1"/>
  <c r="K18" i="2"/>
  <c r="K17" s="1"/>
  <c r="K17" i="5" s="1"/>
  <c r="J18" i="2"/>
  <c r="J17" s="1"/>
  <c r="J17" i="5" s="1"/>
  <c r="I18" i="2"/>
  <c r="I18" i="5" s="1"/>
  <c r="G18" i="2"/>
  <c r="G18" i="5" s="1"/>
  <c r="F18" i="2"/>
  <c r="F17" s="1"/>
  <c r="F17" i="5" s="1"/>
  <c r="E18" i="2"/>
  <c r="E18" i="5" s="1"/>
  <c r="AV17" i="2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H17"/>
  <c r="E17"/>
  <c r="E17" i="5" s="1"/>
  <c r="AU15" i="2"/>
  <c r="AU11" s="1"/>
  <c r="AT15"/>
  <c r="AS15"/>
  <c r="AS11" s="1"/>
  <c r="AR15"/>
  <c r="AQ15"/>
  <c r="AQ11" s="1"/>
  <c r="AP15"/>
  <c r="AO15"/>
  <c r="AO11" s="1"/>
  <c r="AN15"/>
  <c r="AM15"/>
  <c r="AM11" s="1"/>
  <c r="AL15"/>
  <c r="AK15"/>
  <c r="AK11" s="1"/>
  <c r="AJ15"/>
  <c r="AI15"/>
  <c r="AI11" s="1"/>
  <c r="AH15"/>
  <c r="AG15"/>
  <c r="AG11" s="1"/>
  <c r="AF15"/>
  <c r="AE15"/>
  <c r="AE11" s="1"/>
  <c r="AD15"/>
  <c r="AC15"/>
  <c r="AC11" s="1"/>
  <c r="AB15"/>
  <c r="AA15"/>
  <c r="AA11" s="1"/>
  <c r="Z15"/>
  <c r="Y15"/>
  <c r="Y11" s="1"/>
  <c r="X15"/>
  <c r="W15"/>
  <c r="W11" s="1"/>
  <c r="V15"/>
  <c r="U15"/>
  <c r="U11" s="1"/>
  <c r="T15"/>
  <c r="S15"/>
  <c r="S11" s="1"/>
  <c r="R15"/>
  <c r="Q15"/>
  <c r="Q11" s="1"/>
  <c r="P15"/>
  <c r="O15"/>
  <c r="O11" s="1"/>
  <c r="N15"/>
  <c r="M15"/>
  <c r="M11" s="1"/>
  <c r="L15"/>
  <c r="K15"/>
  <c r="K11" s="1"/>
  <c r="K11" i="5" s="1"/>
  <c r="J15" i="2"/>
  <c r="I15"/>
  <c r="I11" s="1"/>
  <c r="I11" i="5" s="1"/>
  <c r="H15" i="2"/>
  <c r="G15"/>
  <c r="F15"/>
  <c r="E15"/>
  <c r="E11" s="1"/>
  <c r="E11" i="5" s="1"/>
  <c r="AV14" i="2"/>
  <c r="AU14"/>
  <c r="AU10" s="1"/>
  <c r="AU9" s="1"/>
  <c r="AT14"/>
  <c r="AS14"/>
  <c r="AS10" s="1"/>
  <c r="AS9" s="1"/>
  <c r="AR14"/>
  <c r="AQ14"/>
  <c r="AQ10" s="1"/>
  <c r="AQ9" s="1"/>
  <c r="AP14"/>
  <c r="AO14"/>
  <c r="AO10" s="1"/>
  <c r="AO9" s="1"/>
  <c r="AN14"/>
  <c r="AM14"/>
  <c r="AM10" s="1"/>
  <c r="AM9" s="1"/>
  <c r="AL14"/>
  <c r="AK14"/>
  <c r="AK10" s="1"/>
  <c r="AK9" s="1"/>
  <c r="AJ14"/>
  <c r="AI14"/>
  <c r="AI10" s="1"/>
  <c r="AI9" s="1"/>
  <c r="AH14"/>
  <c r="AG14"/>
  <c r="AG10" s="1"/>
  <c r="AG9" s="1"/>
  <c r="AF14"/>
  <c r="AE14"/>
  <c r="AE10" s="1"/>
  <c r="AE9" s="1"/>
  <c r="AD14"/>
  <c r="AC14"/>
  <c r="AC10" s="1"/>
  <c r="AC9" s="1"/>
  <c r="AB14"/>
  <c r="AA14"/>
  <c r="AA10" s="1"/>
  <c r="AA9" s="1"/>
  <c r="Z14"/>
  <c r="Y14"/>
  <c r="Y10" s="1"/>
  <c r="Y9" s="1"/>
  <c r="X14"/>
  <c r="W14"/>
  <c r="W10" s="1"/>
  <c r="W9" s="1"/>
  <c r="V14"/>
  <c r="U14"/>
  <c r="U10" s="1"/>
  <c r="U9" s="1"/>
  <c r="T14"/>
  <c r="S14"/>
  <c r="S10" s="1"/>
  <c r="S9" s="1"/>
  <c r="R14"/>
  <c r="Q14"/>
  <c r="Q10" s="1"/>
  <c r="Q9" s="1"/>
  <c r="P14"/>
  <c r="O14"/>
  <c r="O10" s="1"/>
  <c r="O9" s="1"/>
  <c r="N14"/>
  <c r="M14"/>
  <c r="M10" s="1"/>
  <c r="M9" s="1"/>
  <c r="L14"/>
  <c r="K14"/>
  <c r="K13" s="1"/>
  <c r="J14"/>
  <c r="I14"/>
  <c r="I13" s="1"/>
  <c r="H14"/>
  <c r="G14"/>
  <c r="G13" s="1"/>
  <c r="F14"/>
  <c r="E14"/>
  <c r="E13" s="1"/>
  <c r="AV13"/>
  <c r="AV13" i="5" s="1"/>
  <c r="AU13" i="2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J13"/>
  <c r="H13"/>
  <c r="F13"/>
  <c r="AV11"/>
  <c r="AV11" i="5" s="1"/>
  <c r="AT11" i="2"/>
  <c r="AR11"/>
  <c r="AP11"/>
  <c r="AN11"/>
  <c r="AL11"/>
  <c r="AJ11"/>
  <c r="AH11"/>
  <c r="AF11"/>
  <c r="AD11"/>
  <c r="AB11"/>
  <c r="Z11"/>
  <c r="X11"/>
  <c r="V11"/>
  <c r="T11"/>
  <c r="R11"/>
  <c r="P11"/>
  <c r="N11"/>
  <c r="L11"/>
  <c r="J11"/>
  <c r="J11" i="5" s="1"/>
  <c r="H11" i="2"/>
  <c r="AV10"/>
  <c r="AT10"/>
  <c r="AR10"/>
  <c r="AP10"/>
  <c r="AN10"/>
  <c r="AL10"/>
  <c r="AJ10"/>
  <c r="AH10"/>
  <c r="AF10"/>
  <c r="AD10"/>
  <c r="AB10"/>
  <c r="Z10"/>
  <c r="X10"/>
  <c r="V10"/>
  <c r="T10"/>
  <c r="R10"/>
  <c r="P10"/>
  <c r="N10"/>
  <c r="L10"/>
  <c r="J10"/>
  <c r="J10" i="5" s="1"/>
  <c r="H10" i="2"/>
  <c r="F10"/>
  <c r="F10" i="5" s="1"/>
  <c r="AV9" i="2"/>
  <c r="AV9" i="5" s="1"/>
  <c r="AT9" i="2"/>
  <c r="AR9"/>
  <c r="AP9"/>
  <c r="AN9"/>
  <c r="AL9"/>
  <c r="AJ9"/>
  <c r="AH9"/>
  <c r="AF9"/>
  <c r="AD9"/>
  <c r="AB9"/>
  <c r="Z9"/>
  <c r="X9"/>
  <c r="V9"/>
  <c r="T9"/>
  <c r="R9"/>
  <c r="P9"/>
  <c r="N9"/>
  <c r="L9"/>
  <c r="J9"/>
  <c r="J9" i="5" s="1"/>
  <c r="H9" i="2"/>
  <c r="AV7"/>
  <c r="AV23" s="1"/>
  <c r="AV42" s="1"/>
  <c r="AV42" i="5" s="1"/>
  <c r="AU7" i="2"/>
  <c r="AU23" s="1"/>
  <c r="AU42" s="1"/>
  <c r="AU42" i="5" s="1"/>
  <c r="AT7" i="2"/>
  <c r="AT23" s="1"/>
  <c r="AT42" s="1"/>
  <c r="AT42" i="5" s="1"/>
  <c r="AS7" i="2"/>
  <c r="AR7"/>
  <c r="AR23" s="1"/>
  <c r="AR42" s="1"/>
  <c r="AR42" i="5" s="1"/>
  <c r="AQ7" i="2"/>
  <c r="AQ23" s="1"/>
  <c r="AQ42" s="1"/>
  <c r="AQ42" i="5" s="1"/>
  <c r="AP7" i="2"/>
  <c r="AP23" s="1"/>
  <c r="AP42" s="1"/>
  <c r="AP42" i="5" s="1"/>
  <c r="AO7" i="2"/>
  <c r="AN7"/>
  <c r="AN23" s="1"/>
  <c r="AN42" s="1"/>
  <c r="AN42" i="5" s="1"/>
  <c r="AM7" i="2"/>
  <c r="AM23" s="1"/>
  <c r="AM42" s="1"/>
  <c r="AM42" i="5" s="1"/>
  <c r="AL7" i="2"/>
  <c r="AL23" s="1"/>
  <c r="AL42" s="1"/>
  <c r="AL42" i="5" s="1"/>
  <c r="AK7" i="2"/>
  <c r="AJ7"/>
  <c r="AJ23" s="1"/>
  <c r="AJ42" s="1"/>
  <c r="AJ42" i="5" s="1"/>
  <c r="AI7" i="2"/>
  <c r="AI23" s="1"/>
  <c r="AI42" s="1"/>
  <c r="AI42" i="5" s="1"/>
  <c r="AH7" i="2"/>
  <c r="AH23" s="1"/>
  <c r="AH42" s="1"/>
  <c r="AH42" i="5" s="1"/>
  <c r="AG7" i="2"/>
  <c r="AG7" i="5" s="1"/>
  <c r="AG23" s="1"/>
  <c r="AF7" i="2"/>
  <c r="AF23" s="1"/>
  <c r="AF42" s="1"/>
  <c r="AF42" i="5" s="1"/>
  <c r="AE7" i="2"/>
  <c r="AE23" s="1"/>
  <c r="AE42" s="1"/>
  <c r="AE42" i="5" s="1"/>
  <c r="AD7" i="2"/>
  <c r="AD23" s="1"/>
  <c r="AD42" s="1"/>
  <c r="AD42" i="5" s="1"/>
  <c r="AC7" i="2"/>
  <c r="AB7"/>
  <c r="AB23" s="1"/>
  <c r="AB42" s="1"/>
  <c r="AB42" i="5" s="1"/>
  <c r="AA7" i="2"/>
  <c r="AA23" s="1"/>
  <c r="AA42" s="1"/>
  <c r="AA42" i="5" s="1"/>
  <c r="Z7" i="2"/>
  <c r="Z23" s="1"/>
  <c r="Z42" s="1"/>
  <c r="Z42" i="5" s="1"/>
  <c r="Y7" i="2"/>
  <c r="Y7" i="5" s="1"/>
  <c r="Y23" s="1"/>
  <c r="X7" i="2"/>
  <c r="X23" s="1"/>
  <c r="X42" s="1"/>
  <c r="X42" i="5" s="1"/>
  <c r="W7" i="2"/>
  <c r="W23" s="1"/>
  <c r="W42" s="1"/>
  <c r="W42" i="5" s="1"/>
  <c r="V7" i="2"/>
  <c r="V23" s="1"/>
  <c r="V42" s="1"/>
  <c r="V42" i="5" s="1"/>
  <c r="U7" i="2"/>
  <c r="U7" i="5" s="1"/>
  <c r="U23" s="1"/>
  <c r="T7" i="2"/>
  <c r="T23" s="1"/>
  <c r="T42" s="1"/>
  <c r="T42" i="5" s="1"/>
  <c r="S7" i="2"/>
  <c r="S23" s="1"/>
  <c r="S42" s="1"/>
  <c r="S42" i="5" s="1"/>
  <c r="R7" i="2"/>
  <c r="R23" s="1"/>
  <c r="R42" s="1"/>
  <c r="R42" i="5" s="1"/>
  <c r="Q7" i="2"/>
  <c r="Q7" i="5" s="1"/>
  <c r="Q23" s="1"/>
  <c r="P7" i="2"/>
  <c r="P23" s="1"/>
  <c r="P42" s="1"/>
  <c r="P42" i="5" s="1"/>
  <c r="O7" i="2"/>
  <c r="O23" s="1"/>
  <c r="O42" s="1"/>
  <c r="O42" i="5" s="1"/>
  <c r="N7" i="2"/>
  <c r="N23" s="1"/>
  <c r="N42" s="1"/>
  <c r="N42" i="5" s="1"/>
  <c r="M7" i="2"/>
  <c r="M7" i="5" s="1"/>
  <c r="M23" s="1"/>
  <c r="L7" i="2"/>
  <c r="L23" s="1"/>
  <c r="L42" s="1"/>
  <c r="L42" i="5" s="1"/>
  <c r="K7" i="2"/>
  <c r="J7"/>
  <c r="J23" s="1"/>
  <c r="J42" s="1"/>
  <c r="J42" i="5" s="1"/>
  <c r="I7" i="2"/>
  <c r="I7" i="5" s="1"/>
  <c r="H7" i="2"/>
  <c r="H23" s="1"/>
  <c r="H42" s="1"/>
  <c r="H42" i="5" s="1"/>
  <c r="G7" i="2"/>
  <c r="F7"/>
  <c r="E7"/>
  <c r="E7" i="5" s="1"/>
  <c r="AV6" i="2"/>
  <c r="AV22" s="1"/>
  <c r="AU6"/>
  <c r="AU22" s="1"/>
  <c r="AT6"/>
  <c r="AT22" s="1"/>
  <c r="AS6"/>
  <c r="AR6"/>
  <c r="AR22" s="1"/>
  <c r="AQ6"/>
  <c r="AQ22" s="1"/>
  <c r="AP6"/>
  <c r="AP22" s="1"/>
  <c r="AO6"/>
  <c r="AO6" i="5" s="1"/>
  <c r="AN6" i="2"/>
  <c r="AN22" s="1"/>
  <c r="AM6"/>
  <c r="AM22" s="1"/>
  <c r="AL6"/>
  <c r="AL22" s="1"/>
  <c r="AK6"/>
  <c r="AK6" i="5" s="1"/>
  <c r="AJ6" i="2"/>
  <c r="AJ22" s="1"/>
  <c r="AI6"/>
  <c r="AI22" s="1"/>
  <c r="AH6"/>
  <c r="AH22" s="1"/>
  <c r="AG6"/>
  <c r="AG6" i="5" s="1"/>
  <c r="AG22" s="1"/>
  <c r="AF6" i="2"/>
  <c r="AF22" s="1"/>
  <c r="AE6"/>
  <c r="AE22" s="1"/>
  <c r="AD6"/>
  <c r="AD22" s="1"/>
  <c r="AC6"/>
  <c r="AB6"/>
  <c r="AB22" s="1"/>
  <c r="AA6"/>
  <c r="AA22" s="1"/>
  <c r="Z6"/>
  <c r="Z22" s="1"/>
  <c r="Y6"/>
  <c r="Y6" i="5" s="1"/>
  <c r="Y22" s="1"/>
  <c r="X6" i="2"/>
  <c r="X22" s="1"/>
  <c r="W6"/>
  <c r="W22" s="1"/>
  <c r="V6"/>
  <c r="V22" s="1"/>
  <c r="U6"/>
  <c r="U6" i="5" s="1"/>
  <c r="U22" s="1"/>
  <c r="T6" i="2"/>
  <c r="T22" s="1"/>
  <c r="S6"/>
  <c r="S22" s="1"/>
  <c r="R6"/>
  <c r="R22" s="1"/>
  <c r="Q6"/>
  <c r="Q6" i="5" s="1"/>
  <c r="Q22" s="1"/>
  <c r="P6" i="2"/>
  <c r="P22" s="1"/>
  <c r="O6"/>
  <c r="O22" s="1"/>
  <c r="N6"/>
  <c r="N22" s="1"/>
  <c r="M6"/>
  <c r="M6" i="5" s="1"/>
  <c r="M22" s="1"/>
  <c r="L6" i="2"/>
  <c r="L22" s="1"/>
  <c r="K6"/>
  <c r="K6" i="5" s="1"/>
  <c r="J6" i="2"/>
  <c r="J22" s="1"/>
  <c r="I6"/>
  <c r="I6" i="5" s="1"/>
  <c r="H6" i="2"/>
  <c r="H22" s="1"/>
  <c r="G6"/>
  <c r="G6" i="5" s="1"/>
  <c r="F6" i="2"/>
  <c r="F22" s="1"/>
  <c r="E6"/>
  <c r="E6" i="5" s="1"/>
  <c r="AV5" i="2"/>
  <c r="AV5" i="5" s="1"/>
  <c r="AU5" i="2"/>
  <c r="AU5" i="5" s="1"/>
  <c r="AT5" i="2"/>
  <c r="AT5" i="5" s="1"/>
  <c r="AS5" i="2"/>
  <c r="AR5"/>
  <c r="AR5" i="5" s="1"/>
  <c r="AQ5" i="2"/>
  <c r="AQ5" i="5" s="1"/>
  <c r="AP5" i="2"/>
  <c r="AP5" i="5" s="1"/>
  <c r="AO5" i="2"/>
  <c r="AO5" i="5" s="1"/>
  <c r="AN5" i="2"/>
  <c r="AN5" i="5" s="1"/>
  <c r="AM5" i="2"/>
  <c r="AM5" i="5" s="1"/>
  <c r="AL5" i="2"/>
  <c r="AL5" i="5" s="1"/>
  <c r="AK5" i="2"/>
  <c r="AK5" i="5" s="1"/>
  <c r="AJ5" i="2"/>
  <c r="AJ5" i="5" s="1"/>
  <c r="AI5" i="2"/>
  <c r="AI5" i="5" s="1"/>
  <c r="AH5" i="2"/>
  <c r="AH5" i="5" s="1"/>
  <c r="AG5" i="2"/>
  <c r="AG5" i="5" s="1"/>
  <c r="AF5" i="2"/>
  <c r="AF5" i="5" s="1"/>
  <c r="AE5" i="2"/>
  <c r="AE5" i="5" s="1"/>
  <c r="AD5" i="2"/>
  <c r="AD5" i="5" s="1"/>
  <c r="AC5" i="2"/>
  <c r="AB5"/>
  <c r="AB5" i="5" s="1"/>
  <c r="AA5" i="2"/>
  <c r="AA5" i="5" s="1"/>
  <c r="Z5" i="2"/>
  <c r="Z5" i="5" s="1"/>
  <c r="Y5" i="2"/>
  <c r="Y5" i="5" s="1"/>
  <c r="X5" i="2"/>
  <c r="X5" i="5" s="1"/>
  <c r="W5" i="2"/>
  <c r="W5" i="5" s="1"/>
  <c r="V5" i="2"/>
  <c r="V5" i="5" s="1"/>
  <c r="U5" i="2"/>
  <c r="U5" i="5" s="1"/>
  <c r="T5" i="2"/>
  <c r="T5" i="5" s="1"/>
  <c r="S5" i="2"/>
  <c r="S5" i="5" s="1"/>
  <c r="R5" i="2"/>
  <c r="R5" i="5" s="1"/>
  <c r="Q5" i="2"/>
  <c r="Q5" i="5" s="1"/>
  <c r="P5" i="2"/>
  <c r="P5" i="5" s="1"/>
  <c r="O5" i="2"/>
  <c r="O5" i="5" s="1"/>
  <c r="N5" i="2"/>
  <c r="N5" i="5" s="1"/>
  <c r="M5" i="2"/>
  <c r="M5" i="5" s="1"/>
  <c r="L5" i="2"/>
  <c r="L5" i="5" s="1"/>
  <c r="K5" i="2"/>
  <c r="K5" i="5" s="1"/>
  <c r="J5" i="2"/>
  <c r="J5" i="5" s="1"/>
  <c r="I5" i="2"/>
  <c r="I5" i="5" s="1"/>
  <c r="H5" i="2"/>
  <c r="H5" i="5" s="1"/>
  <c r="G5" i="2"/>
  <c r="G5" i="5" s="1"/>
  <c r="F5" i="2"/>
  <c r="F5" i="5" s="1"/>
  <c r="E5" i="2"/>
  <c r="E5" i="5" s="1"/>
  <c r="AU63" i="1"/>
  <c r="AT63"/>
  <c r="AS63"/>
  <c r="AQ63"/>
  <c r="AP63"/>
  <c r="AO63"/>
  <c r="AN63"/>
  <c r="AM63"/>
  <c r="AL63"/>
  <c r="AK63"/>
  <c r="AC63"/>
  <c r="AU62"/>
  <c r="AT62"/>
  <c r="AS62"/>
  <c r="AR62"/>
  <c r="AR62" i="4" s="1"/>
  <c r="AQ62" i="1"/>
  <c r="AP62"/>
  <c r="AO62"/>
  <c r="AO62" i="4" s="1"/>
  <c r="AN62" i="1"/>
  <c r="AN62" i="4" s="1"/>
  <c r="AM62" i="1"/>
  <c r="AL62"/>
  <c r="AK62"/>
  <c r="AK62" i="4" s="1"/>
  <c r="AJ62" i="1"/>
  <c r="AJ62" i="4" s="1"/>
  <c r="AI62" i="1"/>
  <c r="AI62" i="4" s="1"/>
  <c r="AH62" i="1"/>
  <c r="AH62" i="4" s="1"/>
  <c r="AG62" i="1"/>
  <c r="AG62" i="4" s="1"/>
  <c r="AF62" i="1"/>
  <c r="AF62" i="4" s="1"/>
  <c r="AE62" i="1"/>
  <c r="AE62" i="4" s="1"/>
  <c r="AD62" i="1"/>
  <c r="AD62" i="4" s="1"/>
  <c r="AC62" i="1"/>
  <c r="AB62"/>
  <c r="AB62" i="4" s="1"/>
  <c r="AA62" i="1"/>
  <c r="AA62" i="4" s="1"/>
  <c r="Z62" i="1"/>
  <c r="Z62" i="4" s="1"/>
  <c r="Y62" i="1"/>
  <c r="Y62" i="4" s="1"/>
  <c r="Q62" i="1"/>
  <c r="Q62" i="4" s="1"/>
  <c r="N62" i="1"/>
  <c r="N62" i="4" s="1"/>
  <c r="M62" i="1"/>
  <c r="M62" i="4" s="1"/>
  <c r="G54" i="1"/>
  <c r="G54" i="4" s="1"/>
  <c r="F54" i="1"/>
  <c r="F54" i="4" s="1"/>
  <c r="E54" i="1"/>
  <c r="E54" i="4" s="1"/>
  <c r="AV53" i="1"/>
  <c r="AV53" i="4" s="1"/>
  <c r="AU53" i="1"/>
  <c r="AT53"/>
  <c r="AT53" i="4" s="1"/>
  <c r="AS53" i="1"/>
  <c r="AR53"/>
  <c r="AR53" i="4" s="1"/>
  <c r="AQ53" i="1"/>
  <c r="AQ53" i="4" s="1"/>
  <c r="AP53" i="1"/>
  <c r="AP53" i="4" s="1"/>
  <c r="AO53" i="1"/>
  <c r="AO53" i="4" s="1"/>
  <c r="AN53" i="1"/>
  <c r="AN53" i="4" s="1"/>
  <c r="AM53" i="1"/>
  <c r="AM53" i="4" s="1"/>
  <c r="AL53" i="1"/>
  <c r="AL53" i="4" s="1"/>
  <c r="AK53" i="1"/>
  <c r="AK53" i="4" s="1"/>
  <c r="AJ53" i="1"/>
  <c r="AJ53" i="4" s="1"/>
  <c r="AI53" i="1"/>
  <c r="AI53" i="4" s="1"/>
  <c r="AH53" i="1"/>
  <c r="AH53" i="4" s="1"/>
  <c r="AG53" i="1"/>
  <c r="AG53" i="4" s="1"/>
  <c r="AF53" i="1"/>
  <c r="AF53" i="4" s="1"/>
  <c r="AE53" i="1"/>
  <c r="AE53" i="4" s="1"/>
  <c r="AD53" i="1"/>
  <c r="AD53" i="4" s="1"/>
  <c r="AC53" i="1"/>
  <c r="AB53"/>
  <c r="AB53" i="4" s="1"/>
  <c r="AA53" i="1"/>
  <c r="AA53" i="4" s="1"/>
  <c r="Z53" i="1"/>
  <c r="Z53" i="4" s="1"/>
  <c r="Y53" i="1"/>
  <c r="Y53" i="4" s="1"/>
  <c r="X53" i="1"/>
  <c r="W53"/>
  <c r="V53"/>
  <c r="U53"/>
  <c r="T53"/>
  <c r="S53"/>
  <c r="R53"/>
  <c r="Q53"/>
  <c r="Q53" i="4" s="1"/>
  <c r="P53" i="1"/>
  <c r="O53"/>
  <c r="N53"/>
  <c r="N53" i="4" s="1"/>
  <c r="M53" i="1"/>
  <c r="M53" i="4" s="1"/>
  <c r="L53" i="1"/>
  <c r="K53"/>
  <c r="J53"/>
  <c r="I53"/>
  <c r="I53" i="4" s="1"/>
  <c r="H53" i="1"/>
  <c r="G53"/>
  <c r="F53"/>
  <c r="E53"/>
  <c r="E62" s="1"/>
  <c r="E62" i="4" s="1"/>
  <c r="P52" i="1"/>
  <c r="P52" i="4" s="1"/>
  <c r="O52" i="1"/>
  <c r="O52" i="4" s="1"/>
  <c r="N52" i="1"/>
  <c r="N52" i="4" s="1"/>
  <c r="M52" i="1"/>
  <c r="M52" i="4" s="1"/>
  <c r="AV49" i="1"/>
  <c r="AV49" i="4" s="1"/>
  <c r="AU49" i="1"/>
  <c r="AU49" i="4" s="1"/>
  <c r="AT49" i="1"/>
  <c r="AT49" i="4" s="1"/>
  <c r="AS49" i="1"/>
  <c r="AR49"/>
  <c r="AR49" i="4" s="1"/>
  <c r="AQ49" i="1"/>
  <c r="AQ49" i="4" s="1"/>
  <c r="AP49" i="1"/>
  <c r="AP49" i="4" s="1"/>
  <c r="AO49" i="1"/>
  <c r="AO49" i="4" s="1"/>
  <c r="AN49" i="1"/>
  <c r="AN49" i="4" s="1"/>
  <c r="AM49" i="1"/>
  <c r="AM49" i="4" s="1"/>
  <c r="AL49" i="1"/>
  <c r="AL49" i="4" s="1"/>
  <c r="AK49" i="1"/>
  <c r="AK49" i="4" s="1"/>
  <c r="AJ49" i="1"/>
  <c r="AJ49" i="4" s="1"/>
  <c r="AI49" i="1"/>
  <c r="AI49" i="4" s="1"/>
  <c r="AH49" i="1"/>
  <c r="AH49" i="4" s="1"/>
  <c r="AG49" i="1"/>
  <c r="AG49" i="4" s="1"/>
  <c r="AF49" i="1"/>
  <c r="AF49" i="4" s="1"/>
  <c r="AE49" i="1"/>
  <c r="AE49" i="4" s="1"/>
  <c r="AD49" i="1"/>
  <c r="AD49" i="4" s="1"/>
  <c r="AC49" i="1"/>
  <c r="AB49"/>
  <c r="AB49" i="4" s="1"/>
  <c r="AA49" i="1"/>
  <c r="AA49" i="4" s="1"/>
  <c r="Z49" i="1"/>
  <c r="Z49" i="4" s="1"/>
  <c r="Y49" i="1"/>
  <c r="Y49" i="4" s="1"/>
  <c r="X49" i="1"/>
  <c r="X49" i="4" s="1"/>
  <c r="W49" i="1"/>
  <c r="W49" i="4" s="1"/>
  <c r="V49" i="1"/>
  <c r="V49" i="4" s="1"/>
  <c r="U49" i="1"/>
  <c r="U49" i="4" s="1"/>
  <c r="T49" i="1"/>
  <c r="T49" i="4" s="1"/>
  <c r="S49" i="1"/>
  <c r="S49" i="4" s="1"/>
  <c r="R49" i="1"/>
  <c r="R49" i="4" s="1"/>
  <c r="Q49" i="1"/>
  <c r="Q49" i="4" s="1"/>
  <c r="P49" i="1"/>
  <c r="P49" i="4" s="1"/>
  <c r="O49" i="1"/>
  <c r="O49" i="4" s="1"/>
  <c r="N49" i="1"/>
  <c r="N49" i="4" s="1"/>
  <c r="M49" i="1"/>
  <c r="M49" i="4" s="1"/>
  <c r="L49" i="1"/>
  <c r="L49" i="4" s="1"/>
  <c r="K49" i="1"/>
  <c r="K49" i="4" s="1"/>
  <c r="J49" i="1"/>
  <c r="J49" i="4" s="1"/>
  <c r="I49" i="1"/>
  <c r="I49" i="4" s="1"/>
  <c r="H49" i="1"/>
  <c r="H49" i="4" s="1"/>
  <c r="G49" i="1"/>
  <c r="G49" i="4" s="1"/>
  <c r="F49" i="1"/>
  <c r="F49" i="4" s="1"/>
  <c r="E49" i="1"/>
  <c r="E49" i="4" s="1"/>
  <c r="AV48" i="1"/>
  <c r="AV48" i="4" s="1"/>
  <c r="AU48" i="1"/>
  <c r="AU48" i="4" s="1"/>
  <c r="AT48" i="1"/>
  <c r="AT48" i="4" s="1"/>
  <c r="AS48" i="1"/>
  <c r="AR48"/>
  <c r="AR48" i="4" s="1"/>
  <c r="AQ48" i="1"/>
  <c r="AQ48" i="4" s="1"/>
  <c r="AP48" i="1"/>
  <c r="AP48" i="4" s="1"/>
  <c r="AO48" i="1"/>
  <c r="AO48" i="4" s="1"/>
  <c r="AN48" i="1"/>
  <c r="AN48" i="4" s="1"/>
  <c r="AM48" i="1"/>
  <c r="AM48" i="4" s="1"/>
  <c r="AL48" i="1"/>
  <c r="AL48" i="4" s="1"/>
  <c r="AK48" i="1"/>
  <c r="AK48" i="4" s="1"/>
  <c r="AJ48" i="1"/>
  <c r="AJ48" i="4" s="1"/>
  <c r="AI48" i="1"/>
  <c r="AI48" i="4" s="1"/>
  <c r="AH48" i="1"/>
  <c r="AH48" i="4" s="1"/>
  <c r="AG48" i="1"/>
  <c r="AG48" i="4" s="1"/>
  <c r="AF48" i="1"/>
  <c r="AF48" i="4" s="1"/>
  <c r="AE48" i="1"/>
  <c r="AE48" i="4" s="1"/>
  <c r="AD48" i="1"/>
  <c r="AD48" i="4" s="1"/>
  <c r="AC48" i="1"/>
  <c r="AB48"/>
  <c r="AB48" i="4" s="1"/>
  <c r="AA48" i="1"/>
  <c r="AA48" i="4" s="1"/>
  <c r="Z48" i="1"/>
  <c r="Z48" i="4" s="1"/>
  <c r="Y48" i="1"/>
  <c r="Y48" i="4" s="1"/>
  <c r="X48" i="1"/>
  <c r="X48" i="4" s="1"/>
  <c r="W48" i="1"/>
  <c r="W48" i="4" s="1"/>
  <c r="V48" i="1"/>
  <c r="V48" i="4" s="1"/>
  <c r="U48" i="1"/>
  <c r="U48" i="4" s="1"/>
  <c r="T48" i="1"/>
  <c r="T48" i="4" s="1"/>
  <c r="S48" i="1"/>
  <c r="S48" i="4" s="1"/>
  <c r="R48" i="1"/>
  <c r="R48" i="4" s="1"/>
  <c r="Q48" i="1"/>
  <c r="Q48" i="4" s="1"/>
  <c r="P48" i="1"/>
  <c r="P48" i="4" s="1"/>
  <c r="O48" i="1"/>
  <c r="O48" i="4" s="1"/>
  <c r="N48" i="1"/>
  <c r="N48" i="4" s="1"/>
  <c r="M48" i="1"/>
  <c r="M48" i="4" s="1"/>
  <c r="L48" i="1"/>
  <c r="L48" i="4" s="1"/>
  <c r="K48" i="1"/>
  <c r="K48" i="4" s="1"/>
  <c r="J48" i="1"/>
  <c r="J48" i="4" s="1"/>
  <c r="I48" i="1"/>
  <c r="I48" i="4" s="1"/>
  <c r="H48" i="1"/>
  <c r="H48" i="4" s="1"/>
  <c r="G48" i="1"/>
  <c r="G48" i="4" s="1"/>
  <c r="F48" i="1"/>
  <c r="F48" i="4" s="1"/>
  <c r="E48" i="1"/>
  <c r="E48" i="4" s="1"/>
  <c r="L42" i="1"/>
  <c r="L42" i="4" s="1"/>
  <c r="K42" i="1"/>
  <c r="K42" i="4" s="1"/>
  <c r="J42" i="1"/>
  <c r="J42" i="4" s="1"/>
  <c r="I42" i="1"/>
  <c r="I42" i="4" s="1"/>
  <c r="L41" i="1"/>
  <c r="L41" i="4" s="1"/>
  <c r="K41" i="1"/>
  <c r="K41" i="4" s="1"/>
  <c r="J41" i="1"/>
  <c r="J41" i="4" s="1"/>
  <c r="I41" i="1"/>
  <c r="I41" i="4" s="1"/>
  <c r="AV40" i="1"/>
  <c r="AV40" i="4" s="1"/>
  <c r="AU40" i="1"/>
  <c r="AU40" i="4" s="1"/>
  <c r="AT40" i="1"/>
  <c r="AT40" i="4" s="1"/>
  <c r="AS40" i="1"/>
  <c r="AR40"/>
  <c r="AR40" i="4" s="1"/>
  <c r="AQ40" i="1"/>
  <c r="AQ40" i="4" s="1"/>
  <c r="AP40" i="1"/>
  <c r="AP40" i="4" s="1"/>
  <c r="AO40" i="1"/>
  <c r="AO40" i="4" s="1"/>
  <c r="AN40" i="1"/>
  <c r="AN40" i="4" s="1"/>
  <c r="AM40" i="1"/>
  <c r="AM40" i="4" s="1"/>
  <c r="AL40" i="1"/>
  <c r="AL40" i="4" s="1"/>
  <c r="AK40" i="1"/>
  <c r="AK40" i="4" s="1"/>
  <c r="AJ40" i="1"/>
  <c r="AJ40" i="4" s="1"/>
  <c r="AI40" i="1"/>
  <c r="AI40" i="4" s="1"/>
  <c r="AH40" i="1"/>
  <c r="AH40" i="4" s="1"/>
  <c r="AG40" i="1"/>
  <c r="AG40" i="4" s="1"/>
  <c r="AF40" i="1"/>
  <c r="AF40" i="4" s="1"/>
  <c r="AE40" i="1"/>
  <c r="AE40" i="4" s="1"/>
  <c r="AD40" i="1"/>
  <c r="AD40" i="4" s="1"/>
  <c r="AC40" i="1"/>
  <c r="AB40"/>
  <c r="AB40" i="4" s="1"/>
  <c r="AA40" i="1"/>
  <c r="AA40" i="4" s="1"/>
  <c r="Z40" i="1"/>
  <c r="Z40" i="4" s="1"/>
  <c r="Y40" i="1"/>
  <c r="Y40" i="4" s="1"/>
  <c r="X40" i="1"/>
  <c r="X40" i="4" s="1"/>
  <c r="W40" i="1"/>
  <c r="W40" i="4" s="1"/>
  <c r="V40" i="1"/>
  <c r="V40" i="4" s="1"/>
  <c r="U40" i="1"/>
  <c r="U40" i="4" s="1"/>
  <c r="T40" i="1"/>
  <c r="T40" i="4" s="1"/>
  <c r="S40" i="1"/>
  <c r="S40" i="4" s="1"/>
  <c r="R40" i="1"/>
  <c r="R40" i="4" s="1"/>
  <c r="Q40" i="1"/>
  <c r="Q40" i="4" s="1"/>
  <c r="P40" i="1"/>
  <c r="P40" i="4" s="1"/>
  <c r="O40" i="1"/>
  <c r="O40" i="4" s="1"/>
  <c r="N40" i="1"/>
  <c r="N40" i="4" s="1"/>
  <c r="M40" i="1"/>
  <c r="M40" i="4" s="1"/>
  <c r="L40" i="1"/>
  <c r="L40" i="4" s="1"/>
  <c r="K40" i="1"/>
  <c r="K40" i="4" s="1"/>
  <c r="J40" i="1"/>
  <c r="J40" i="4" s="1"/>
  <c r="I40" i="1"/>
  <c r="I40" i="4" s="1"/>
  <c r="H40" i="1"/>
  <c r="H40" i="4" s="1"/>
  <c r="G40" i="1"/>
  <c r="G40" i="4" s="1"/>
  <c r="F40" i="1"/>
  <c r="F40" i="4" s="1"/>
  <c r="E40" i="1"/>
  <c r="E40" i="4" s="1"/>
  <c r="AV32" i="1"/>
  <c r="AV32" i="4" s="1"/>
  <c r="AU32" i="1"/>
  <c r="AU32" i="4" s="1"/>
  <c r="AT32" i="1"/>
  <c r="AT32" i="4" s="1"/>
  <c r="AS32" i="1"/>
  <c r="AR32"/>
  <c r="AR32" i="4" s="1"/>
  <c r="AQ32" i="1"/>
  <c r="AQ32" i="4" s="1"/>
  <c r="AP32" i="1"/>
  <c r="AP32" i="4" s="1"/>
  <c r="AO32" i="1"/>
  <c r="AO32" i="4" s="1"/>
  <c r="AN32" i="1"/>
  <c r="AN32" i="4" s="1"/>
  <c r="AM32" i="1"/>
  <c r="AM32" i="4" s="1"/>
  <c r="AL32" i="1"/>
  <c r="AL32" i="4" s="1"/>
  <c r="AK32" i="1"/>
  <c r="AK32" i="4" s="1"/>
  <c r="AJ32" i="1"/>
  <c r="AJ32" i="4" s="1"/>
  <c r="AI32" i="1"/>
  <c r="AI32" i="4" s="1"/>
  <c r="AH32" i="1"/>
  <c r="AH32" i="4" s="1"/>
  <c r="AG32" i="1"/>
  <c r="AG32" i="4" s="1"/>
  <c r="AF32" i="1"/>
  <c r="AF32" i="4" s="1"/>
  <c r="AE32" i="1"/>
  <c r="AE32" i="4" s="1"/>
  <c r="AD32" i="1"/>
  <c r="AD32" i="4" s="1"/>
  <c r="AC32" i="1"/>
  <c r="AB32"/>
  <c r="AB32" i="4" s="1"/>
  <c r="AA32" i="1"/>
  <c r="AA32" i="4" s="1"/>
  <c r="Z32" i="1"/>
  <c r="Z32" i="4" s="1"/>
  <c r="Y32" i="1"/>
  <c r="Y32" i="4" s="1"/>
  <c r="X32" i="1"/>
  <c r="X32" i="4" s="1"/>
  <c r="W32" i="1"/>
  <c r="W32" i="4" s="1"/>
  <c r="V32" i="1"/>
  <c r="V32" i="4" s="1"/>
  <c r="U32" i="1"/>
  <c r="U32" i="4" s="1"/>
  <c r="T32" i="1"/>
  <c r="T32" i="4" s="1"/>
  <c r="S32" i="1"/>
  <c r="S32" i="4" s="1"/>
  <c r="R32" i="1"/>
  <c r="Q32"/>
  <c r="Q32" i="4" s="1"/>
  <c r="P32" i="1"/>
  <c r="P32" i="4" s="1"/>
  <c r="O32" i="1"/>
  <c r="O32" i="4" s="1"/>
  <c r="N32" i="1"/>
  <c r="N32" i="4" s="1"/>
  <c r="M32" i="1"/>
  <c r="M32" i="4" s="1"/>
  <c r="L32" i="1"/>
  <c r="L32" i="4" s="1"/>
  <c r="K32" i="1"/>
  <c r="K32" i="4" s="1"/>
  <c r="J32" i="1"/>
  <c r="J32" i="4" s="1"/>
  <c r="I32" i="1"/>
  <c r="I32" i="4" s="1"/>
  <c r="H32" i="1"/>
  <c r="H32" i="4" s="1"/>
  <c r="G32" i="1"/>
  <c r="G32" i="4" s="1"/>
  <c r="F32" i="1"/>
  <c r="F32" i="4" s="1"/>
  <c r="E32" i="1"/>
  <c r="E32" i="4" s="1"/>
  <c r="AV25" i="1"/>
  <c r="AV25" i="4" s="1"/>
  <c r="AU25" i="1"/>
  <c r="AU25" i="4" s="1"/>
  <c r="AT25" i="1"/>
  <c r="AT25" i="4" s="1"/>
  <c r="AS25" i="1"/>
  <c r="AR25"/>
  <c r="AR25" i="4" s="1"/>
  <c r="AQ25" i="1"/>
  <c r="AQ25" i="4" s="1"/>
  <c r="AP25" i="1"/>
  <c r="AP25" i="4" s="1"/>
  <c r="AO25" i="1"/>
  <c r="AO25" i="4" s="1"/>
  <c r="AN25" i="1"/>
  <c r="AN25" i="4" s="1"/>
  <c r="AM25" i="1"/>
  <c r="AM25" i="4" s="1"/>
  <c r="AL25" i="1"/>
  <c r="AL25" i="4" s="1"/>
  <c r="AK25" i="1"/>
  <c r="AK25" i="4" s="1"/>
  <c r="AJ25" i="1"/>
  <c r="AJ25" i="4" s="1"/>
  <c r="AI25" i="1"/>
  <c r="AI25" i="4" s="1"/>
  <c r="AH25" i="1"/>
  <c r="AH25" i="4" s="1"/>
  <c r="AG25" i="1"/>
  <c r="AG25" i="4" s="1"/>
  <c r="AF25" i="1"/>
  <c r="AF25" i="4" s="1"/>
  <c r="AE25" i="1"/>
  <c r="AE25" i="4" s="1"/>
  <c r="AD25" i="1"/>
  <c r="AD25" i="4" s="1"/>
  <c r="AC25" i="1"/>
  <c r="AB25"/>
  <c r="AB25" i="4" s="1"/>
  <c r="AA25" i="1"/>
  <c r="AA25" i="4" s="1"/>
  <c r="Z25" i="1"/>
  <c r="Z25" i="4" s="1"/>
  <c r="Y25" i="1"/>
  <c r="Y25" i="4" s="1"/>
  <c r="X25" i="1"/>
  <c r="X25" i="4" s="1"/>
  <c r="W25" i="1"/>
  <c r="W25" i="4" s="1"/>
  <c r="V25" i="1"/>
  <c r="V25" i="4" s="1"/>
  <c r="U25" i="1"/>
  <c r="U25" i="4" s="1"/>
  <c r="T25" i="1"/>
  <c r="T25" i="4" s="1"/>
  <c r="S25" i="1"/>
  <c r="S25" i="4" s="1"/>
  <c r="R25" i="1"/>
  <c r="R25" i="4" s="1"/>
  <c r="Q25" i="1"/>
  <c r="Q25" i="4" s="1"/>
  <c r="P25" i="1"/>
  <c r="P25" i="4" s="1"/>
  <c r="O25" i="1"/>
  <c r="O25" i="4" s="1"/>
  <c r="N25" i="1"/>
  <c r="N25" i="4" s="1"/>
  <c r="M25" i="1"/>
  <c r="M25" i="4" s="1"/>
  <c r="L25" i="1"/>
  <c r="L25" i="4" s="1"/>
  <c r="K25" i="1"/>
  <c r="K25" i="4" s="1"/>
  <c r="J25" i="1"/>
  <c r="J25" i="4" s="1"/>
  <c r="I25" i="1"/>
  <c r="I25" i="4" s="1"/>
  <c r="H25" i="1"/>
  <c r="H25" i="4" s="1"/>
  <c r="G25" i="1"/>
  <c r="G25" i="4" s="1"/>
  <c r="F25" i="1"/>
  <c r="F25" i="4" s="1"/>
  <c r="E25" i="1"/>
  <c r="E25" i="4" s="1"/>
  <c r="AV24" i="1"/>
  <c r="AV24" i="4" s="1"/>
  <c r="AU24" i="1"/>
  <c r="AU24" i="4" s="1"/>
  <c r="AT24" i="1"/>
  <c r="AT24" i="4" s="1"/>
  <c r="AS24" i="1"/>
  <c r="AR24"/>
  <c r="AR24" i="4" s="1"/>
  <c r="AQ24" i="1"/>
  <c r="AQ24" i="4" s="1"/>
  <c r="AP24" i="1"/>
  <c r="AP24" i="4" s="1"/>
  <c r="AO24" i="1"/>
  <c r="AO24" i="4" s="1"/>
  <c r="AN24" i="1"/>
  <c r="AN24" i="4" s="1"/>
  <c r="AM24" i="1"/>
  <c r="AM24" i="4" s="1"/>
  <c r="AL24" i="1"/>
  <c r="AL24" i="4" s="1"/>
  <c r="AK24" i="1"/>
  <c r="AK24" i="4" s="1"/>
  <c r="AJ24" i="1"/>
  <c r="AJ24" i="4" s="1"/>
  <c r="AI24" i="1"/>
  <c r="AI24" i="4" s="1"/>
  <c r="AH24" i="1"/>
  <c r="AH24" i="4" s="1"/>
  <c r="AG24" i="1"/>
  <c r="AG24" i="4" s="1"/>
  <c r="AF24" i="1"/>
  <c r="AF24" i="4" s="1"/>
  <c r="AE24" i="1"/>
  <c r="AE24" i="4" s="1"/>
  <c r="AD24" i="1"/>
  <c r="AD24" i="4" s="1"/>
  <c r="AC24" i="1"/>
  <c r="AB24"/>
  <c r="AB24" i="4" s="1"/>
  <c r="AA24" i="1"/>
  <c r="AA24" i="4" s="1"/>
  <c r="Z24" i="1"/>
  <c r="Z24" i="4" s="1"/>
  <c r="Y24" i="1"/>
  <c r="Y24" i="4" s="1"/>
  <c r="X24" i="1"/>
  <c r="X24" i="4" s="1"/>
  <c r="W24" i="1"/>
  <c r="W24" i="4" s="1"/>
  <c r="V24" i="1"/>
  <c r="V24" i="4" s="1"/>
  <c r="U24" i="1"/>
  <c r="U24" i="4" s="1"/>
  <c r="T24" i="1"/>
  <c r="T24" i="4" s="1"/>
  <c r="S24" i="1"/>
  <c r="S24" i="4" s="1"/>
  <c r="R24" i="1"/>
  <c r="R24" i="4" s="1"/>
  <c r="Q24" i="1"/>
  <c r="Q24" i="4" s="1"/>
  <c r="P24" i="1"/>
  <c r="P24" i="4" s="1"/>
  <c r="O24" i="1"/>
  <c r="O24" i="4" s="1"/>
  <c r="N24" i="1"/>
  <c r="N24" i="4" s="1"/>
  <c r="M24" i="1"/>
  <c r="M24" i="4" s="1"/>
  <c r="L24" i="1"/>
  <c r="L24" i="4" s="1"/>
  <c r="K24" i="1"/>
  <c r="K24" i="4" s="1"/>
  <c r="J24" i="1"/>
  <c r="J24" i="4" s="1"/>
  <c r="I24" i="1"/>
  <c r="I24" i="4" s="1"/>
  <c r="H24" i="1"/>
  <c r="H24" i="4" s="1"/>
  <c r="G24" i="1"/>
  <c r="G24" i="4" s="1"/>
  <c r="F24" i="1"/>
  <c r="F24" i="4" s="1"/>
  <c r="E24" i="1"/>
  <c r="E24" i="4" s="1"/>
  <c r="L21" i="1"/>
  <c r="L21" i="4" s="1"/>
  <c r="K21" i="1"/>
  <c r="K21" i="4" s="1"/>
  <c r="J21" i="1"/>
  <c r="J20" s="1"/>
  <c r="J20" i="4" s="1"/>
  <c r="I21" i="1"/>
  <c r="I21" i="4" s="1"/>
  <c r="G21" i="1"/>
  <c r="G21" i="4" s="1"/>
  <c r="F21" i="1"/>
  <c r="F21" i="4" s="1"/>
  <c r="E21" i="1"/>
  <c r="E21" i="4" s="1"/>
  <c r="AV20" i="1"/>
  <c r="AV20" i="4" s="1"/>
  <c r="AU20" i="1"/>
  <c r="AU20" i="4" s="1"/>
  <c r="AT20" i="1"/>
  <c r="AT20" i="4" s="1"/>
  <c r="AS20" i="1"/>
  <c r="AS20" i="4" s="1"/>
  <c r="AR20" i="1"/>
  <c r="AR20" i="4" s="1"/>
  <c r="AQ20" i="1"/>
  <c r="AQ20" i="4" s="1"/>
  <c r="AP20" i="1"/>
  <c r="AP20" i="4" s="1"/>
  <c r="AO20" i="1"/>
  <c r="AO20" i="4" s="1"/>
  <c r="AN20" i="1"/>
  <c r="AM20"/>
  <c r="AM20" i="4" s="1"/>
  <c r="AL20" i="1"/>
  <c r="AL20" i="4" s="1"/>
  <c r="AK20" i="1"/>
  <c r="AK20" i="4" s="1"/>
  <c r="AJ20" i="1"/>
  <c r="AJ20" i="4" s="1"/>
  <c r="AI20" i="1"/>
  <c r="AI20" i="4" s="1"/>
  <c r="AH20" i="1"/>
  <c r="AH20" i="4" s="1"/>
  <c r="AG20" i="1"/>
  <c r="AG20" i="4" s="1"/>
  <c r="AF20" i="1"/>
  <c r="AF20" i="4" s="1"/>
  <c r="AE20" i="1"/>
  <c r="AE20" i="4" s="1"/>
  <c r="AD20" i="1"/>
  <c r="AD20" i="4" s="1"/>
  <c r="AC20" i="1"/>
  <c r="AC20" i="4" s="1"/>
  <c r="AB20" i="1"/>
  <c r="AB20" i="4" s="1"/>
  <c r="AA20" i="1"/>
  <c r="AA20" i="4" s="1"/>
  <c r="Z20" i="1"/>
  <c r="Z20" i="4" s="1"/>
  <c r="Y20" i="1"/>
  <c r="Y20" i="4" s="1"/>
  <c r="X20" i="1"/>
  <c r="X20" i="4" s="1"/>
  <c r="W20" i="1"/>
  <c r="W20" i="4" s="1"/>
  <c r="V20" i="1"/>
  <c r="V20" i="4" s="1"/>
  <c r="U20" i="1"/>
  <c r="U20" i="4" s="1"/>
  <c r="T20" i="1"/>
  <c r="T20" i="4" s="1"/>
  <c r="S20" i="1"/>
  <c r="S20" i="4" s="1"/>
  <c r="R20" i="1"/>
  <c r="R20" i="4" s="1"/>
  <c r="Q20" i="1"/>
  <c r="Q20" i="4" s="1"/>
  <c r="P20" i="1"/>
  <c r="P20" i="4" s="1"/>
  <c r="O20" i="1"/>
  <c r="O20" i="4" s="1"/>
  <c r="N20" i="1"/>
  <c r="N20" i="4" s="1"/>
  <c r="M20" i="1"/>
  <c r="M20" i="4" s="1"/>
  <c r="H20" i="1"/>
  <c r="H20" i="4" s="1"/>
  <c r="F20" i="1"/>
  <c r="F20" i="4" s="1"/>
  <c r="AV16" i="1"/>
  <c r="AV16" i="4" s="1"/>
  <c r="AU16" i="1"/>
  <c r="AT16"/>
  <c r="AT16" i="4" s="1"/>
  <c r="AS16" i="1"/>
  <c r="AS16" i="4" s="1"/>
  <c r="AR16" i="1"/>
  <c r="AR16" i="4" s="1"/>
  <c r="AQ16" i="1"/>
  <c r="AQ16" i="4" s="1"/>
  <c r="AP16" i="1"/>
  <c r="AP16" i="4" s="1"/>
  <c r="AO16" i="1"/>
  <c r="AO16" i="4" s="1"/>
  <c r="AN16" i="1"/>
  <c r="AN16" i="4" s="1"/>
  <c r="AM16" i="1"/>
  <c r="AM16" i="4" s="1"/>
  <c r="AL16" i="1"/>
  <c r="AL16" i="4" s="1"/>
  <c r="AK16" i="1"/>
  <c r="AK16" i="4" s="1"/>
  <c r="AJ16" i="1"/>
  <c r="AJ16" i="4" s="1"/>
  <c r="AI16" i="1"/>
  <c r="AI16" i="4" s="1"/>
  <c r="AH16" i="1"/>
  <c r="AH16" i="4" s="1"/>
  <c r="AG16" i="1"/>
  <c r="AG16" i="4" s="1"/>
  <c r="AF16" i="1"/>
  <c r="AF16" i="4" s="1"/>
  <c r="AE16" i="1"/>
  <c r="AE16" i="4" s="1"/>
  <c r="AD16" i="1"/>
  <c r="AD16" i="4" s="1"/>
  <c r="AC16" i="1"/>
  <c r="AC16" i="4" s="1"/>
  <c r="AB16" i="1"/>
  <c r="AB16" i="4" s="1"/>
  <c r="AA16" i="1"/>
  <c r="AA16" i="4" s="1"/>
  <c r="Z16" i="1"/>
  <c r="Z16" i="4" s="1"/>
  <c r="Y16" i="1"/>
  <c r="Y16" i="4" s="1"/>
  <c r="X16" i="1"/>
  <c r="X16" i="4" s="1"/>
  <c r="W16" i="1"/>
  <c r="W16" i="4" s="1"/>
  <c r="V16" i="1"/>
  <c r="V16" i="4" s="1"/>
  <c r="U16" i="1"/>
  <c r="U16" i="4" s="1"/>
  <c r="T16" i="1"/>
  <c r="T16" i="4" s="1"/>
  <c r="S16" i="1"/>
  <c r="S16" i="4" s="1"/>
  <c r="R16" i="1"/>
  <c r="R16" i="4" s="1"/>
  <c r="Q16" i="1"/>
  <c r="Q16" i="4" s="1"/>
  <c r="P16" i="1"/>
  <c r="P16" i="4" s="1"/>
  <c r="O16" i="1"/>
  <c r="O16" i="4" s="1"/>
  <c r="N16" i="1"/>
  <c r="N16" i="4" s="1"/>
  <c r="M16" i="1"/>
  <c r="M16" i="4" s="1"/>
  <c r="L16" i="1"/>
  <c r="L16" i="4" s="1"/>
  <c r="K16" i="1"/>
  <c r="K16" i="4" s="1"/>
  <c r="J16" i="1"/>
  <c r="J16" i="4" s="1"/>
  <c r="I16" i="1"/>
  <c r="I16" i="4" s="1"/>
  <c r="H16" i="1"/>
  <c r="H16" i="4" s="1"/>
  <c r="G16" i="1"/>
  <c r="G16" i="4" s="1"/>
  <c r="F16" i="1"/>
  <c r="F16" i="4" s="1"/>
  <c r="E16" i="1"/>
  <c r="E16" i="4" s="1"/>
  <c r="AU14" i="1"/>
  <c r="AU30" s="1"/>
  <c r="AU39" s="1"/>
  <c r="AT14"/>
  <c r="AT30" s="1"/>
  <c r="AT39" s="1"/>
  <c r="AS14"/>
  <c r="AS30" s="1"/>
  <c r="AR14"/>
  <c r="AR30" s="1"/>
  <c r="AR39" s="1"/>
  <c r="AR46" s="1"/>
  <c r="AQ14"/>
  <c r="AQ30" s="1"/>
  <c r="AQ39" s="1"/>
  <c r="AP14"/>
  <c r="AP30" s="1"/>
  <c r="AP39" s="1"/>
  <c r="AO14"/>
  <c r="AO30" s="1"/>
  <c r="AN14"/>
  <c r="AN30" s="1"/>
  <c r="AN39" s="1"/>
  <c r="AN46" s="1"/>
  <c r="AM14"/>
  <c r="AM30" s="1"/>
  <c r="AM39" s="1"/>
  <c r="AL14"/>
  <c r="AL30" s="1"/>
  <c r="AL39" s="1"/>
  <c r="AK14"/>
  <c r="AK30" s="1"/>
  <c r="AJ14"/>
  <c r="AJ30" s="1"/>
  <c r="AJ39" s="1"/>
  <c r="AJ46" s="1"/>
  <c r="AI14"/>
  <c r="AI30" s="1"/>
  <c r="AI39" s="1"/>
  <c r="AH14"/>
  <c r="AH30" s="1"/>
  <c r="AH39" s="1"/>
  <c r="AG14"/>
  <c r="AG30" s="1"/>
  <c r="AF14"/>
  <c r="AF30" s="1"/>
  <c r="AF39" s="1"/>
  <c r="AF46" s="1"/>
  <c r="AE14"/>
  <c r="AE30" s="1"/>
  <c r="AE39" s="1"/>
  <c r="AD14"/>
  <c r="AD30" s="1"/>
  <c r="AD39" s="1"/>
  <c r="AC14"/>
  <c r="AC30" s="1"/>
  <c r="AB14"/>
  <c r="AB30" s="1"/>
  <c r="AB39" s="1"/>
  <c r="AB46" s="1"/>
  <c r="AA14"/>
  <c r="AA30" s="1"/>
  <c r="AA39" s="1"/>
  <c r="Z14"/>
  <c r="Z30" s="1"/>
  <c r="Z39" s="1"/>
  <c r="Y14"/>
  <c r="Y30" s="1"/>
  <c r="X14"/>
  <c r="X30" s="1"/>
  <c r="X39" s="1"/>
  <c r="X46" s="1"/>
  <c r="W14"/>
  <c r="W30" s="1"/>
  <c r="W39" s="1"/>
  <c r="V14"/>
  <c r="V30" s="1"/>
  <c r="V39" s="1"/>
  <c r="U14"/>
  <c r="U30" s="1"/>
  <c r="T14"/>
  <c r="T30" s="1"/>
  <c r="T39" s="1"/>
  <c r="T46" s="1"/>
  <c r="S14"/>
  <c r="S30" s="1"/>
  <c r="S39" s="1"/>
  <c r="R14"/>
  <c r="R30" s="1"/>
  <c r="R39" s="1"/>
  <c r="Q14"/>
  <c r="Q30" s="1"/>
  <c r="P14"/>
  <c r="P30" s="1"/>
  <c r="P39" s="1"/>
  <c r="P46" s="1"/>
  <c r="O14"/>
  <c r="O30" s="1"/>
  <c r="O39" s="1"/>
  <c r="N14"/>
  <c r="N30" s="1"/>
  <c r="N39" s="1"/>
  <c r="M14"/>
  <c r="M30" s="1"/>
  <c r="L14"/>
  <c r="L30" s="1"/>
  <c r="L39" s="1"/>
  <c r="L39" i="4" s="1"/>
  <c r="K14" i="1"/>
  <c r="K30" s="1"/>
  <c r="K39" s="1"/>
  <c r="J14"/>
  <c r="J30" s="1"/>
  <c r="J39" s="1"/>
  <c r="I14"/>
  <c r="I30" s="1"/>
  <c r="H14"/>
  <c r="H30" s="1"/>
  <c r="H39" s="1"/>
  <c r="H46" s="1"/>
  <c r="G14"/>
  <c r="G30" s="1"/>
  <c r="G39" s="1"/>
  <c r="F14"/>
  <c r="F30" s="1"/>
  <c r="F39" s="1"/>
  <c r="E14"/>
  <c r="E30" s="1"/>
  <c r="R13"/>
  <c r="R29" s="1"/>
  <c r="R29" i="4" s="1"/>
  <c r="AV11" i="1"/>
  <c r="AV62" s="1"/>
  <c r="AV62" i="4" s="1"/>
  <c r="I11" i="1"/>
  <c r="I62" s="1"/>
  <c r="I62" i="4" s="1"/>
  <c r="AV10" i="1"/>
  <c r="AV61" s="1"/>
  <c r="AU10"/>
  <c r="AU9" s="1"/>
  <c r="AU9" i="4" s="1"/>
  <c r="AT10" i="1"/>
  <c r="AT13" s="1"/>
  <c r="AT13" i="4" s="1"/>
  <c r="AS10" i="1"/>
  <c r="AS61" s="1"/>
  <c r="AR10"/>
  <c r="AR61" s="1"/>
  <c r="AQ10"/>
  <c r="AQ9" s="1"/>
  <c r="AQ9" i="4" s="1"/>
  <c r="AP10" i="1"/>
  <c r="AP13" s="1"/>
  <c r="AP13" i="4" s="1"/>
  <c r="AO10" i="1"/>
  <c r="AO61" s="1"/>
  <c r="AN10"/>
  <c r="AN61" s="1"/>
  <c r="AM10"/>
  <c r="AM9" s="1"/>
  <c r="AM9" i="4" s="1"/>
  <c r="AL10" i="1"/>
  <c r="AL13" s="1"/>
  <c r="AL13" i="4" s="1"/>
  <c r="AK10" i="1"/>
  <c r="AK61" s="1"/>
  <c r="AJ10"/>
  <c r="AJ61" s="1"/>
  <c r="AI10"/>
  <c r="AI9" s="1"/>
  <c r="AI9" i="4" s="1"/>
  <c r="AH10" i="1"/>
  <c r="AH13" s="1"/>
  <c r="AH13" i="4" s="1"/>
  <c r="AG10" i="1"/>
  <c r="AG61" s="1"/>
  <c r="AF10"/>
  <c r="AF61" s="1"/>
  <c r="AE10"/>
  <c r="AE9" s="1"/>
  <c r="AE9" i="4" s="1"/>
  <c r="AD10" i="1"/>
  <c r="AD13" s="1"/>
  <c r="AD13" i="4" s="1"/>
  <c r="AC10" i="1"/>
  <c r="AC61" s="1"/>
  <c r="AB10"/>
  <c r="AB61" s="1"/>
  <c r="AA10"/>
  <c r="AA9" s="1"/>
  <c r="AA9" i="4" s="1"/>
  <c r="Z10" i="1"/>
  <c r="Z13" s="1"/>
  <c r="Z13" i="4" s="1"/>
  <c r="Y10" i="1"/>
  <c r="Y61" s="1"/>
  <c r="X10"/>
  <c r="X61" s="1"/>
  <c r="W10"/>
  <c r="W9" s="1"/>
  <c r="W9" i="4" s="1"/>
  <c r="V10" i="1"/>
  <c r="V13" s="1"/>
  <c r="V13" i="4" s="1"/>
  <c r="U10" i="1"/>
  <c r="U61" s="1"/>
  <c r="T10"/>
  <c r="T61" s="1"/>
  <c r="S10"/>
  <c r="S9" s="1"/>
  <c r="S9" i="4" s="1"/>
  <c r="Q10" i="1"/>
  <c r="P10"/>
  <c r="P61" s="1"/>
  <c r="O10"/>
  <c r="O13" s="1"/>
  <c r="O13" i="4" s="1"/>
  <c r="N10" i="1"/>
  <c r="N13" s="1"/>
  <c r="N13" i="4" s="1"/>
  <c r="M10" i="1"/>
  <c r="L10"/>
  <c r="L61" s="1"/>
  <c r="K10"/>
  <c r="K13" s="1"/>
  <c r="K13" i="4" s="1"/>
  <c r="J10" i="1"/>
  <c r="J13" s="1"/>
  <c r="J13" i="4" s="1"/>
  <c r="I10" i="1"/>
  <c r="H10"/>
  <c r="H61" s="1"/>
  <c r="G10"/>
  <c r="G13" s="1"/>
  <c r="G13" i="4" s="1"/>
  <c r="F10" i="1"/>
  <c r="F13" s="1"/>
  <c r="F13" i="4" s="1"/>
  <c r="E10" i="1"/>
  <c r="AT9"/>
  <c r="AT9" i="4" s="1"/>
  <c r="AS9" i="1"/>
  <c r="AS9" i="4" s="1"/>
  <c r="AP9" i="1"/>
  <c r="AP9" i="4" s="1"/>
  <c r="AO9" i="1"/>
  <c r="AO9" i="4" s="1"/>
  <c r="AN9" i="1"/>
  <c r="AL9"/>
  <c r="AL9" i="4" s="1"/>
  <c r="AJ9" i="1"/>
  <c r="AJ9" i="4" s="1"/>
  <c r="AH9" i="1"/>
  <c r="AH9" i="4" s="1"/>
  <c r="AD9" i="1"/>
  <c r="AD9" i="4" s="1"/>
  <c r="AC9" i="1"/>
  <c r="AC9" i="4" s="1"/>
  <c r="Z9" i="1"/>
  <c r="Z9" i="4" s="1"/>
  <c r="Y9" i="1"/>
  <c r="Y9" i="4" s="1"/>
  <c r="X9" i="1"/>
  <c r="X9" i="4" s="1"/>
  <c r="V9" i="1"/>
  <c r="V9" i="4" s="1"/>
  <c r="T9" i="1"/>
  <c r="T9" i="4" s="1"/>
  <c r="R9" i="1"/>
  <c r="R9" i="4" s="1"/>
  <c r="Q9" i="1"/>
  <c r="Q9" i="4" s="1"/>
  <c r="O9" i="1"/>
  <c r="O9" i="4" s="1"/>
  <c r="N9" i="1"/>
  <c r="N9" i="4" s="1"/>
  <c r="M9" i="1"/>
  <c r="M9" i="4" s="1"/>
  <c r="K9" i="1"/>
  <c r="K9" i="4" s="1"/>
  <c r="J9" i="1"/>
  <c r="J9" i="4" s="1"/>
  <c r="G9" i="1"/>
  <c r="G9" i="4" s="1"/>
  <c r="F9" i="1"/>
  <c r="F9" i="4" s="1"/>
  <c r="E9" i="1"/>
  <c r="E9" i="4" s="1"/>
  <c r="AV5" i="1"/>
  <c r="AV5" i="4" s="1"/>
  <c r="AU5" i="1"/>
  <c r="AU5" i="4" s="1"/>
  <c r="AT5" i="1"/>
  <c r="AT5" i="4" s="1"/>
  <c r="AS5" i="1"/>
  <c r="AR5"/>
  <c r="AR5" i="4" s="1"/>
  <c r="AQ5" i="1"/>
  <c r="AQ5" i="4" s="1"/>
  <c r="AP5" i="1"/>
  <c r="AP5" i="4" s="1"/>
  <c r="AO5" i="1"/>
  <c r="AO5" i="4" s="1"/>
  <c r="AN5" i="1"/>
  <c r="AN5" i="4" s="1"/>
  <c r="AM5" i="1"/>
  <c r="AM5" i="4" s="1"/>
  <c r="AL5" i="1"/>
  <c r="AL5" i="4" s="1"/>
  <c r="AK5" i="1"/>
  <c r="AK5" i="4" s="1"/>
  <c r="AJ5" i="1"/>
  <c r="AJ5" i="4" s="1"/>
  <c r="AI5" i="1"/>
  <c r="AI5" i="4" s="1"/>
  <c r="AH5" i="1"/>
  <c r="AH5" i="4" s="1"/>
  <c r="AG5" i="1"/>
  <c r="AG5" i="4" s="1"/>
  <c r="AF5" i="1"/>
  <c r="AF5" i="4" s="1"/>
  <c r="AE5" i="1"/>
  <c r="AE5" i="4" s="1"/>
  <c r="AD5" i="1"/>
  <c r="AD5" i="4" s="1"/>
  <c r="AC5" i="1"/>
  <c r="AB5"/>
  <c r="AB5" i="4" s="1"/>
  <c r="AA5" i="1"/>
  <c r="AA5" i="4" s="1"/>
  <c r="Z5" i="1"/>
  <c r="Z5" i="4" s="1"/>
  <c r="Y5" i="1"/>
  <c r="Y5" i="4" s="1"/>
  <c r="X5" i="1"/>
  <c r="X5" i="4" s="1"/>
  <c r="W5" i="1"/>
  <c r="W5" i="4" s="1"/>
  <c r="V5" i="1"/>
  <c r="V5" i="4" s="1"/>
  <c r="U5" i="1"/>
  <c r="U5" i="4" s="1"/>
  <c r="T5" i="1"/>
  <c r="T5" i="4" s="1"/>
  <c r="S5" i="1"/>
  <c r="S5" i="4" s="1"/>
  <c r="R5" i="1"/>
  <c r="R5" i="4" s="1"/>
  <c r="Q5" i="1"/>
  <c r="Q5" i="4" s="1"/>
  <c r="P5" i="1"/>
  <c r="P5" i="4" s="1"/>
  <c r="O5" i="1"/>
  <c r="O5" i="4" s="1"/>
  <c r="N5" i="1"/>
  <c r="N5" i="4" s="1"/>
  <c r="M5" i="1"/>
  <c r="M5" i="4" s="1"/>
  <c r="L5" i="1"/>
  <c r="L5" i="4" s="1"/>
  <c r="K5" i="1"/>
  <c r="K5" i="4" s="1"/>
  <c r="J5" i="1"/>
  <c r="J5" i="4" s="1"/>
  <c r="I5" i="1"/>
  <c r="I5" i="4" s="1"/>
  <c r="H5" i="1"/>
  <c r="H5" i="4" s="1"/>
  <c r="G5" i="1"/>
  <c r="G5" i="4" s="1"/>
  <c r="F5" i="1"/>
  <c r="F5" i="4" s="1"/>
  <c r="E5" i="1"/>
  <c r="E5" i="4" s="1"/>
  <c r="AO7" l="1"/>
  <c r="AP19" i="5"/>
  <c r="AU18"/>
  <c r="AP53"/>
  <c r="AM54"/>
  <c r="AL19"/>
  <c r="K20" i="1"/>
  <c r="K20" i="4" s="1"/>
  <c r="H52" i="2"/>
  <c r="H52" i="5" s="1"/>
  <c r="S52" i="2"/>
  <c r="S52" i="5" s="1"/>
  <c r="W52" i="2"/>
  <c r="W52" i="5" s="1"/>
  <c r="AA52" i="2"/>
  <c r="AA52" i="5" s="1"/>
  <c r="AE52" i="2"/>
  <c r="AE52" i="5" s="1"/>
  <c r="AI52" i="2"/>
  <c r="AI52" i="5" s="1"/>
  <c r="AM52" i="2"/>
  <c r="AQ52"/>
  <c r="AU52"/>
  <c r="AU52" i="5" s="1"/>
  <c r="G17" i="2"/>
  <c r="G17" i="5" s="1"/>
  <c r="L52" i="2"/>
  <c r="L52" i="5" s="1"/>
  <c r="G11" i="2"/>
  <c r="G11" i="5" s="1"/>
  <c r="AC5"/>
  <c r="AS5"/>
  <c r="AC6"/>
  <c r="AS6"/>
  <c r="I23"/>
  <c r="AC7"/>
  <c r="AK7"/>
  <c r="AO7"/>
  <c r="AS7"/>
  <c r="AM52"/>
  <c r="AQ52"/>
  <c r="AC54"/>
  <c r="AK54"/>
  <c r="AO54"/>
  <c r="AS54"/>
  <c r="AU19"/>
  <c r="AQ19"/>
  <c r="AM19"/>
  <c r="AS18"/>
  <c r="AO18"/>
  <c r="AK18"/>
  <c r="AC18"/>
  <c r="AU17"/>
  <c r="AQ17"/>
  <c r="AM17"/>
  <c r="AS15"/>
  <c r="AO15"/>
  <c r="AK15"/>
  <c r="AC15"/>
  <c r="AN14"/>
  <c r="AT13"/>
  <c r="AP13"/>
  <c r="AL13"/>
  <c r="AN11"/>
  <c r="AT10"/>
  <c r="AP10"/>
  <c r="AL10"/>
  <c r="AU9"/>
  <c r="AQ9"/>
  <c r="AM9"/>
  <c r="AU38"/>
  <c r="AQ38"/>
  <c r="AM38"/>
  <c r="AT37"/>
  <c r="AP37"/>
  <c r="AL37"/>
  <c r="AS36"/>
  <c r="AO36"/>
  <c r="AK36"/>
  <c r="AC36"/>
  <c r="AN35"/>
  <c r="AU34"/>
  <c r="AQ34"/>
  <c r="AM34"/>
  <c r="AT33"/>
  <c r="AP33"/>
  <c r="AL33"/>
  <c r="AS32"/>
  <c r="AO32"/>
  <c r="AK32"/>
  <c r="AC32"/>
  <c r="AN31"/>
  <c r="AU30"/>
  <c r="AQ30"/>
  <c r="AM30"/>
  <c r="AT29"/>
  <c r="AP29"/>
  <c r="AL29"/>
  <c r="AS28"/>
  <c r="AO28"/>
  <c r="AK28"/>
  <c r="AC28"/>
  <c r="AN27"/>
  <c r="AU26"/>
  <c r="AQ26"/>
  <c r="AM26"/>
  <c r="AT25"/>
  <c r="AP25"/>
  <c r="AL25"/>
  <c r="AU51"/>
  <c r="AQ51"/>
  <c r="AM51"/>
  <c r="AT50"/>
  <c r="AP50"/>
  <c r="AL50"/>
  <c r="AS49"/>
  <c r="AO49"/>
  <c r="AK49"/>
  <c r="AC49"/>
  <c r="AN47"/>
  <c r="AU46"/>
  <c r="AQ46"/>
  <c r="AM46"/>
  <c r="AT45"/>
  <c r="AP45"/>
  <c r="AL45"/>
  <c r="AS44"/>
  <c r="AO44"/>
  <c r="AK44"/>
  <c r="AC44"/>
  <c r="AN54"/>
  <c r="AN19"/>
  <c r="AT18"/>
  <c r="AP18"/>
  <c r="AL18"/>
  <c r="AN17"/>
  <c r="AT15"/>
  <c r="AP15"/>
  <c r="AL15"/>
  <c r="AS14"/>
  <c r="AO14"/>
  <c r="AK14"/>
  <c r="AC14"/>
  <c r="AU13"/>
  <c r="AQ13"/>
  <c r="AM13"/>
  <c r="AS11"/>
  <c r="AO11"/>
  <c r="AK11"/>
  <c r="AC11"/>
  <c r="AU10"/>
  <c r="AQ10"/>
  <c r="AM10"/>
  <c r="AN9"/>
  <c r="AN38"/>
  <c r="AU37"/>
  <c r="AQ37"/>
  <c r="AM37"/>
  <c r="AT36"/>
  <c r="AP36"/>
  <c r="AL36"/>
  <c r="AS35"/>
  <c r="AO35"/>
  <c r="AK35"/>
  <c r="AC35"/>
  <c r="AN34"/>
  <c r="AU33"/>
  <c r="AQ33"/>
  <c r="AM33"/>
  <c r="AT32"/>
  <c r="AP32"/>
  <c r="AL32"/>
  <c r="AS31"/>
  <c r="AO31"/>
  <c r="AK31"/>
  <c r="AC31"/>
  <c r="AN30"/>
  <c r="AU29"/>
  <c r="AQ29"/>
  <c r="AM29"/>
  <c r="AT28"/>
  <c r="AP28"/>
  <c r="AL28"/>
  <c r="AS27"/>
  <c r="AO27"/>
  <c r="AK27"/>
  <c r="AC27"/>
  <c r="AN26"/>
  <c r="AU25"/>
  <c r="AQ25"/>
  <c r="AM25"/>
  <c r="AN51"/>
  <c r="AU50"/>
  <c r="AQ50"/>
  <c r="AM50"/>
  <c r="AT49"/>
  <c r="AP49"/>
  <c r="AL49"/>
  <c r="AS47"/>
  <c r="AO47"/>
  <c r="AK47"/>
  <c r="AC47"/>
  <c r="AN46"/>
  <c r="AU45"/>
  <c r="AQ45"/>
  <c r="AM45"/>
  <c r="AT44"/>
  <c r="AP44"/>
  <c r="AL44"/>
  <c r="AS19"/>
  <c r="AO19"/>
  <c r="AK19"/>
  <c r="AC19"/>
  <c r="AQ18"/>
  <c r="AM18"/>
  <c r="AS17"/>
  <c r="AO17"/>
  <c r="AK17"/>
  <c r="AC17"/>
  <c r="AU15"/>
  <c r="AQ15"/>
  <c r="AM15"/>
  <c r="AT14"/>
  <c r="AP14"/>
  <c r="AL14"/>
  <c r="AN13"/>
  <c r="AT11"/>
  <c r="AP11"/>
  <c r="AL11"/>
  <c r="AN10"/>
  <c r="AS9"/>
  <c r="AO9"/>
  <c r="AK9"/>
  <c r="AC9"/>
  <c r="AS38"/>
  <c r="AO38"/>
  <c r="AK38"/>
  <c r="AC38"/>
  <c r="AN37"/>
  <c r="AU36"/>
  <c r="AQ36"/>
  <c r="AM36"/>
  <c r="AT35"/>
  <c r="AP35"/>
  <c r="AL35"/>
  <c r="AS34"/>
  <c r="AO34"/>
  <c r="AK34"/>
  <c r="AC34"/>
  <c r="AN33"/>
  <c r="AU32"/>
  <c r="AQ32"/>
  <c r="AM32"/>
  <c r="AT31"/>
  <c r="AP31"/>
  <c r="AL31"/>
  <c r="AS30"/>
  <c r="AO30"/>
  <c r="AK30"/>
  <c r="AC30"/>
  <c r="AN29"/>
  <c r="AU28"/>
  <c r="AQ28"/>
  <c r="AM28"/>
  <c r="AT27"/>
  <c r="AP27"/>
  <c r="AL27"/>
  <c r="AS26"/>
  <c r="AO26"/>
  <c r="AK26"/>
  <c r="AC26"/>
  <c r="AN25"/>
  <c r="AS51"/>
  <c r="AO51"/>
  <c r="AK51"/>
  <c r="AC51"/>
  <c r="AN50"/>
  <c r="AU49"/>
  <c r="AQ49"/>
  <c r="AM49"/>
  <c r="AT47"/>
  <c r="AP47"/>
  <c r="AL47"/>
  <c r="AS46"/>
  <c r="AO46"/>
  <c r="AK46"/>
  <c r="AC46"/>
  <c r="AN45"/>
  <c r="AU44"/>
  <c r="AQ44"/>
  <c r="AM44"/>
  <c r="AY22"/>
  <c r="AT19"/>
  <c r="AN18"/>
  <c r="AT17"/>
  <c r="AP17"/>
  <c r="AL17"/>
  <c r="AN15"/>
  <c r="AU14"/>
  <c r="AQ14"/>
  <c r="AM14"/>
  <c r="AS13"/>
  <c r="AO13"/>
  <c r="AK13"/>
  <c r="AC13"/>
  <c r="AU11"/>
  <c r="AQ11"/>
  <c r="AM11"/>
  <c r="AS10"/>
  <c r="AO10"/>
  <c r="AO22" s="1"/>
  <c r="AK10"/>
  <c r="AK22" s="1"/>
  <c r="AC10"/>
  <c r="AT9"/>
  <c r="AP9"/>
  <c r="AL9"/>
  <c r="AT38"/>
  <c r="AP38"/>
  <c r="AL38"/>
  <c r="AS37"/>
  <c r="AO37"/>
  <c r="AK37"/>
  <c r="AC37"/>
  <c r="AN36"/>
  <c r="AU35"/>
  <c r="AQ35"/>
  <c r="AM35"/>
  <c r="AT34"/>
  <c r="AP34"/>
  <c r="AL34"/>
  <c r="AS33"/>
  <c r="AO33"/>
  <c r="AK33"/>
  <c r="AC33"/>
  <c r="AN32"/>
  <c r="AU31"/>
  <c r="AQ31"/>
  <c r="AM31"/>
  <c r="AT30"/>
  <c r="AP30"/>
  <c r="AL30"/>
  <c r="AS29"/>
  <c r="AO29"/>
  <c r="AK29"/>
  <c r="AC29"/>
  <c r="AN28"/>
  <c r="AU27"/>
  <c r="AQ27"/>
  <c r="AM27"/>
  <c r="AT26"/>
  <c r="AP26"/>
  <c r="AL26"/>
  <c r="AS25"/>
  <c r="AO25"/>
  <c r="AK25"/>
  <c r="AC25"/>
  <c r="AT51"/>
  <c r="AP51"/>
  <c r="AL51"/>
  <c r="AS50"/>
  <c r="AO50"/>
  <c r="AK50"/>
  <c r="AC50"/>
  <c r="AN49"/>
  <c r="AC5" i="4"/>
  <c r="AS5"/>
  <c r="AN9"/>
  <c r="AU16"/>
  <c r="AN20"/>
  <c r="AC24"/>
  <c r="AS24"/>
  <c r="AC25"/>
  <c r="AS25"/>
  <c r="AC32"/>
  <c r="AS32"/>
  <c r="AC40"/>
  <c r="AS40"/>
  <c r="AC48"/>
  <c r="AS48"/>
  <c r="AC49"/>
  <c r="AS49"/>
  <c r="AC53"/>
  <c r="AS53"/>
  <c r="AM62"/>
  <c r="AQ62"/>
  <c r="AU62"/>
  <c r="AS7"/>
  <c r="AK7"/>
  <c r="AC7"/>
  <c r="AN18"/>
  <c r="AS17"/>
  <c r="AC22"/>
  <c r="AN7"/>
  <c r="AN6"/>
  <c r="AC6"/>
  <c r="AS22"/>
  <c r="AN26"/>
  <c r="AU53"/>
  <c r="AC62"/>
  <c r="AS62"/>
  <c r="AN21"/>
  <c r="AS6"/>
  <c r="T61"/>
  <c r="AF60" i="1"/>
  <c r="AF60" i="4" s="1"/>
  <c r="AF61"/>
  <c r="AN60" i="1"/>
  <c r="AN60" i="4" s="1"/>
  <c r="AN61"/>
  <c r="I39" i="1"/>
  <c r="I30" i="4"/>
  <c r="T58" i="1"/>
  <c r="T58" i="4" s="1"/>
  <c r="T46"/>
  <c r="AB58" i="1"/>
  <c r="AB58" i="4" s="1"/>
  <c r="AB46"/>
  <c r="AJ58" i="1"/>
  <c r="AJ58" i="4" s="1"/>
  <c r="AJ46"/>
  <c r="AN58" i="1"/>
  <c r="AN58" i="4" s="1"/>
  <c r="AN46"/>
  <c r="G46" i="1"/>
  <c r="G39" i="4"/>
  <c r="K46" i="1"/>
  <c r="K58" s="1"/>
  <c r="K58" i="4" s="1"/>
  <c r="K39"/>
  <c r="O46" i="1"/>
  <c r="O39" i="4"/>
  <c r="S46" i="1"/>
  <c r="S39" i="4"/>
  <c r="W46" i="1"/>
  <c r="W39" i="4"/>
  <c r="AA46" i="1"/>
  <c r="AA39" i="4"/>
  <c r="AE46" i="1"/>
  <c r="AE39" i="4"/>
  <c r="AI46" i="1"/>
  <c r="AI39" i="4"/>
  <c r="AM46" i="1"/>
  <c r="AM39" i="4"/>
  <c r="AQ46" i="1"/>
  <c r="AQ39" i="4"/>
  <c r="AU46" i="1"/>
  <c r="AU39" i="4"/>
  <c r="H62" i="1"/>
  <c r="H62" i="4" s="1"/>
  <c r="H53"/>
  <c r="L62" i="1"/>
  <c r="L62" i="4" s="1"/>
  <c r="L53"/>
  <c r="P62" i="1"/>
  <c r="P62" i="4" s="1"/>
  <c r="P53"/>
  <c r="T62" i="1"/>
  <c r="T62" i="4" s="1"/>
  <c r="T53"/>
  <c r="X62" i="1"/>
  <c r="X62" i="4" s="1"/>
  <c r="X53"/>
  <c r="AC50"/>
  <c r="AC54"/>
  <c r="AC41"/>
  <c r="AC51"/>
  <c r="AC42"/>
  <c r="AC52"/>
  <c r="AC34"/>
  <c r="AN42"/>
  <c r="AN52"/>
  <c r="AN34"/>
  <c r="AN50"/>
  <c r="AN54"/>
  <c r="AN41"/>
  <c r="AN51"/>
  <c r="AN33"/>
  <c r="AS50"/>
  <c r="AS54"/>
  <c r="AS41"/>
  <c r="AS51"/>
  <c r="AS42"/>
  <c r="AS52"/>
  <c r="AS34"/>
  <c r="AB9" i="1"/>
  <c r="AB9" i="4" s="1"/>
  <c r="AG9" i="1"/>
  <c r="AG9" i="4" s="1"/>
  <c r="P13" i="1"/>
  <c r="AF13"/>
  <c r="AN13"/>
  <c r="AV13"/>
  <c r="H9"/>
  <c r="H9" i="4" s="1"/>
  <c r="L9" i="1"/>
  <c r="L9" i="4" s="1"/>
  <c r="P9" i="1"/>
  <c r="P9" i="4" s="1"/>
  <c r="U9" i="1"/>
  <c r="U9" i="4" s="1"/>
  <c r="AF9" i="1"/>
  <c r="AF9" i="4" s="1"/>
  <c r="AK9" i="1"/>
  <c r="AK9" i="4" s="1"/>
  <c r="E61" i="1"/>
  <c r="I61"/>
  <c r="I61" i="4" s="1"/>
  <c r="M61" i="1"/>
  <c r="Q61"/>
  <c r="R12"/>
  <c r="R12" i="4" s="1"/>
  <c r="L13" i="1"/>
  <c r="U13"/>
  <c r="AC13"/>
  <c r="AK13"/>
  <c r="AS13"/>
  <c r="I20"/>
  <c r="I20" i="4" s="1"/>
  <c r="AL62"/>
  <c r="AP62"/>
  <c r="AT62"/>
  <c r="AU7"/>
  <c r="AQ7"/>
  <c r="AM7"/>
  <c r="AT6"/>
  <c r="AP6"/>
  <c r="AL6"/>
  <c r="AS11"/>
  <c r="AO11"/>
  <c r="AK11"/>
  <c r="AC11"/>
  <c r="I11"/>
  <c r="AV10"/>
  <c r="AR10"/>
  <c r="AN10"/>
  <c r="AJ10"/>
  <c r="AF10"/>
  <c r="AB10"/>
  <c r="X10"/>
  <c r="T10"/>
  <c r="P10"/>
  <c r="L10"/>
  <c r="H10"/>
  <c r="E14"/>
  <c r="AS14"/>
  <c r="AO14"/>
  <c r="AK14"/>
  <c r="AG14"/>
  <c r="AC14"/>
  <c r="Y14"/>
  <c r="U14"/>
  <c r="Q14"/>
  <c r="M14"/>
  <c r="I14"/>
  <c r="AS18"/>
  <c r="AO18"/>
  <c r="AK18"/>
  <c r="AC18"/>
  <c r="AN17"/>
  <c r="AU22"/>
  <c r="AM22"/>
  <c r="AT21"/>
  <c r="AP21"/>
  <c r="AL21"/>
  <c r="AU26"/>
  <c r="AP26"/>
  <c r="AK26"/>
  <c r="AC26"/>
  <c r="AR30"/>
  <c r="AM30"/>
  <c r="AH30"/>
  <c r="AB30"/>
  <c r="W30"/>
  <c r="R30"/>
  <c r="L30"/>
  <c r="G30"/>
  <c r="AL34"/>
  <c r="AT33"/>
  <c r="AO33"/>
  <c r="AN39"/>
  <c r="AF39"/>
  <c r="X39"/>
  <c r="P39"/>
  <c r="H39"/>
  <c r="H61"/>
  <c r="L60" i="1"/>
  <c r="L60" i="4" s="1"/>
  <c r="L61"/>
  <c r="P61"/>
  <c r="U61"/>
  <c r="Y60" i="1"/>
  <c r="Y60" i="4" s="1"/>
  <c r="Y61"/>
  <c r="AC60" i="1"/>
  <c r="AC60" i="4" s="1"/>
  <c r="AC61"/>
  <c r="AG60" i="1"/>
  <c r="AG60" i="4" s="1"/>
  <c r="AG61"/>
  <c r="AK60" i="1"/>
  <c r="AK60" i="4" s="1"/>
  <c r="AK61"/>
  <c r="AO60" i="1"/>
  <c r="AO60" i="4" s="1"/>
  <c r="AO61"/>
  <c r="AS60" i="1"/>
  <c r="AS60" i="4" s="1"/>
  <c r="AS61"/>
  <c r="F46" i="1"/>
  <c r="F39" i="4"/>
  <c r="J46" i="1"/>
  <c r="J58" s="1"/>
  <c r="J58" i="4" s="1"/>
  <c r="J39"/>
  <c r="N46" i="1"/>
  <c r="N39" i="4"/>
  <c r="R46" i="1"/>
  <c r="R39" i="4"/>
  <c r="V46" i="1"/>
  <c r="V39" i="4"/>
  <c r="Z46" i="1"/>
  <c r="Z39" i="4"/>
  <c r="AD46" i="1"/>
  <c r="AD39" i="4"/>
  <c r="AH46" i="1"/>
  <c r="AH39" i="4"/>
  <c r="AL46" i="1"/>
  <c r="AL39" i="4"/>
  <c r="AP46" i="1"/>
  <c r="AP39" i="4"/>
  <c r="AT46" i="1"/>
  <c r="AT39" i="4"/>
  <c r="G62" i="1"/>
  <c r="G62" i="4" s="1"/>
  <c r="G53"/>
  <c r="K62" i="1"/>
  <c r="K62" i="4" s="1"/>
  <c r="K53"/>
  <c r="O62" i="1"/>
  <c r="O62" i="4" s="1"/>
  <c r="O53"/>
  <c r="S62" i="1"/>
  <c r="S62" i="4" s="1"/>
  <c r="S53"/>
  <c r="W62" i="1"/>
  <c r="W62" i="4" s="1"/>
  <c r="W53"/>
  <c r="AM41"/>
  <c r="AM51"/>
  <c r="AM33"/>
  <c r="AM42"/>
  <c r="AM52"/>
  <c r="AM50"/>
  <c r="AM54"/>
  <c r="AM26"/>
  <c r="AQ41"/>
  <c r="AQ51"/>
  <c r="AQ33"/>
  <c r="AQ42"/>
  <c r="AQ52"/>
  <c r="AQ50"/>
  <c r="AQ54"/>
  <c r="AQ26"/>
  <c r="H13" i="1"/>
  <c r="T13"/>
  <c r="AB13"/>
  <c r="AJ13"/>
  <c r="AR13"/>
  <c r="AU6" i="4"/>
  <c r="AQ6"/>
  <c r="AM6"/>
  <c r="AT11"/>
  <c r="AP11"/>
  <c r="AL11"/>
  <c r="AS10"/>
  <c r="AO10"/>
  <c r="AK10"/>
  <c r="AG10"/>
  <c r="AC10"/>
  <c r="Y10"/>
  <c r="U10"/>
  <c r="Q10"/>
  <c r="M10"/>
  <c r="I10"/>
  <c r="AT14"/>
  <c r="AP14"/>
  <c r="AL14"/>
  <c r="AH14"/>
  <c r="AD14"/>
  <c r="Z14"/>
  <c r="V14"/>
  <c r="R14"/>
  <c r="N14"/>
  <c r="J14"/>
  <c r="F14"/>
  <c r="AT18"/>
  <c r="AP18"/>
  <c r="AL18"/>
  <c r="AO17"/>
  <c r="AK17"/>
  <c r="AN22"/>
  <c r="AQ21"/>
  <c r="AM21"/>
  <c r="AT30"/>
  <c r="AN30"/>
  <c r="AI30"/>
  <c r="AD30"/>
  <c r="X30"/>
  <c r="S30"/>
  <c r="N30"/>
  <c r="H30"/>
  <c r="AS35"/>
  <c r="AN35"/>
  <c r="AT34"/>
  <c r="AM34"/>
  <c r="X60" i="1"/>
  <c r="X60" i="4" s="1"/>
  <c r="X61"/>
  <c r="AJ60" i="1"/>
  <c r="AJ60" i="4" s="1"/>
  <c r="AJ61"/>
  <c r="AV60" i="1"/>
  <c r="AV60" i="4" s="1"/>
  <c r="AV61"/>
  <c r="M39" i="1"/>
  <c r="M30" i="4"/>
  <c r="Q39" i="1"/>
  <c r="Q30" i="4"/>
  <c r="U39" i="1"/>
  <c r="U30" i="4"/>
  <c r="Y39" i="1"/>
  <c r="Y30" i="4"/>
  <c r="AC39" i="1"/>
  <c r="AC30" i="4"/>
  <c r="AG39" i="1"/>
  <c r="AG30" i="4"/>
  <c r="AK39" i="1"/>
  <c r="AK30" i="4"/>
  <c r="AO39" i="1"/>
  <c r="AO30" i="4"/>
  <c r="AS39" i="1"/>
  <c r="AS30" i="4"/>
  <c r="R61" i="1"/>
  <c r="R32" i="4"/>
  <c r="F62" i="1"/>
  <c r="F62" i="4" s="1"/>
  <c r="F53"/>
  <c r="J62" i="1"/>
  <c r="J62" i="4" s="1"/>
  <c r="J53"/>
  <c r="R62" i="1"/>
  <c r="R62" i="4" s="1"/>
  <c r="R53"/>
  <c r="V62" i="1"/>
  <c r="V62" i="4" s="1"/>
  <c r="V53"/>
  <c r="AL50"/>
  <c r="AL54"/>
  <c r="AL41"/>
  <c r="AL51"/>
  <c r="AL42"/>
  <c r="AL52"/>
  <c r="AL35"/>
  <c r="AP50"/>
  <c r="AP54"/>
  <c r="AP41"/>
  <c r="AP51"/>
  <c r="AP42"/>
  <c r="AP52"/>
  <c r="AP35"/>
  <c r="AU41"/>
  <c r="AU51"/>
  <c r="AU33"/>
  <c r="AU42"/>
  <c r="AU52"/>
  <c r="AU50"/>
  <c r="AU54"/>
  <c r="Y13" i="1"/>
  <c r="AG13"/>
  <c r="AO13"/>
  <c r="E10" i="4"/>
  <c r="AU11"/>
  <c r="AQ11"/>
  <c r="AM11"/>
  <c r="AT10"/>
  <c r="AP10"/>
  <c r="AL10"/>
  <c r="AH10"/>
  <c r="AD10"/>
  <c r="Z10"/>
  <c r="V10"/>
  <c r="N10"/>
  <c r="J10"/>
  <c r="F10"/>
  <c r="AU14"/>
  <c r="AQ14"/>
  <c r="AM14"/>
  <c r="AI14"/>
  <c r="AE14"/>
  <c r="AA14"/>
  <c r="W14"/>
  <c r="S14"/>
  <c r="O14"/>
  <c r="K14"/>
  <c r="G14"/>
  <c r="R13"/>
  <c r="AU18"/>
  <c r="AQ18"/>
  <c r="AM18"/>
  <c r="AP17"/>
  <c r="AL17"/>
  <c r="AO22"/>
  <c r="AK22"/>
  <c r="AU30"/>
  <c r="AP30"/>
  <c r="AJ30"/>
  <c r="AE30"/>
  <c r="Z30"/>
  <c r="T30"/>
  <c r="O30"/>
  <c r="J30"/>
  <c r="AU35"/>
  <c r="AU34"/>
  <c r="AP34"/>
  <c r="AC33"/>
  <c r="AR39"/>
  <c r="AJ39"/>
  <c r="AB39"/>
  <c r="T39"/>
  <c r="AB60" i="1"/>
  <c r="AB60" i="4" s="1"/>
  <c r="AB61"/>
  <c r="AR60" i="1"/>
  <c r="AR60" i="4" s="1"/>
  <c r="AR61"/>
  <c r="E39" i="1"/>
  <c r="E30" i="4"/>
  <c r="H58" i="1"/>
  <c r="H58" i="4" s="1"/>
  <c r="H46"/>
  <c r="P58" i="1"/>
  <c r="P58" i="4" s="1"/>
  <c r="P46"/>
  <c r="X58" i="1"/>
  <c r="X58" i="4" s="1"/>
  <c r="X46"/>
  <c r="AF58" i="1"/>
  <c r="AF58" i="4" s="1"/>
  <c r="AF46"/>
  <c r="AR58" i="1"/>
  <c r="AR58" i="4" s="1"/>
  <c r="AR46"/>
  <c r="U62" i="1"/>
  <c r="U62" i="4" s="1"/>
  <c r="U53"/>
  <c r="AK50"/>
  <c r="AK54"/>
  <c r="AK41"/>
  <c r="AK51"/>
  <c r="AK42"/>
  <c r="AK52"/>
  <c r="AK34"/>
  <c r="AO50"/>
  <c r="AO54"/>
  <c r="AO41"/>
  <c r="AO51"/>
  <c r="AO42"/>
  <c r="AO52"/>
  <c r="AO34"/>
  <c r="AT50"/>
  <c r="AT54"/>
  <c r="AT41"/>
  <c r="AT51"/>
  <c r="AT42"/>
  <c r="AT52"/>
  <c r="AT35"/>
  <c r="I9" i="1"/>
  <c r="I9" i="4" s="1"/>
  <c r="AR9" i="1"/>
  <c r="AR9" i="4" s="1"/>
  <c r="X13" i="1"/>
  <c r="E20"/>
  <c r="E20" i="4" s="1"/>
  <c r="AT7"/>
  <c r="AP7"/>
  <c r="AL7"/>
  <c r="AO6"/>
  <c r="AK6"/>
  <c r="AV11"/>
  <c r="AU10"/>
  <c r="AQ10"/>
  <c r="AM10"/>
  <c r="AI10"/>
  <c r="AE10"/>
  <c r="AA10"/>
  <c r="W10"/>
  <c r="S10"/>
  <c r="O10"/>
  <c r="K10"/>
  <c r="G10"/>
  <c r="AR14"/>
  <c r="AN14"/>
  <c r="AJ14"/>
  <c r="AF14"/>
  <c r="AB14"/>
  <c r="X14"/>
  <c r="T14"/>
  <c r="P14"/>
  <c r="L14"/>
  <c r="H14"/>
  <c r="AU17"/>
  <c r="AQ17"/>
  <c r="AM17"/>
  <c r="AT22"/>
  <c r="AP22"/>
  <c r="AL22"/>
  <c r="AS21"/>
  <c r="AO21"/>
  <c r="AK21"/>
  <c r="AC21"/>
  <c r="AT26"/>
  <c r="AO26"/>
  <c r="AQ30"/>
  <c r="AL30"/>
  <c r="AF30"/>
  <c r="AA30"/>
  <c r="V30"/>
  <c r="P30"/>
  <c r="K30"/>
  <c r="F30"/>
  <c r="AQ35"/>
  <c r="AK35"/>
  <c r="AC35"/>
  <c r="AQ34"/>
  <c r="AS33"/>
  <c r="AL33"/>
  <c r="E53"/>
  <c r="AX60" i="1"/>
  <c r="AX60" i="4" s="1"/>
  <c r="AX61"/>
  <c r="AX53" i="2"/>
  <c r="AX58" i="4"/>
  <c r="AX7" i="2"/>
  <c r="AY40"/>
  <c r="AY40" i="5" s="1"/>
  <c r="AY41"/>
  <c r="AY23" i="2"/>
  <c r="AY42" s="1"/>
  <c r="AY42" i="5" s="1"/>
  <c r="AY7"/>
  <c r="AY21" i="2"/>
  <c r="AW58" i="4"/>
  <c r="AW7" i="2"/>
  <c r="AY23" i="5"/>
  <c r="AY21"/>
  <c r="AY60" i="1"/>
  <c r="AY60" i="4" s="1"/>
  <c r="AY53" i="2"/>
  <c r="AY61" i="4"/>
  <c r="AZ37" i="1"/>
  <c r="AZ45"/>
  <c r="AX57"/>
  <c r="AX44"/>
  <c r="AX44" i="4" s="1"/>
  <c r="AW37" i="1"/>
  <c r="AW37" i="4" s="1"/>
  <c r="AW45" i="1"/>
  <c r="AW45" i="4" s="1"/>
  <c r="F11" i="5"/>
  <c r="F9" i="2"/>
  <c r="F9" i="5" s="1"/>
  <c r="L29" i="1"/>
  <c r="L29" i="4" s="1"/>
  <c r="F23" i="2"/>
  <c r="F42" s="1"/>
  <c r="F42" i="5" s="1"/>
  <c r="I17" i="2"/>
  <c r="I17" i="5" s="1"/>
  <c r="AV7"/>
  <c r="AV23" s="1"/>
  <c r="AR7"/>
  <c r="AR23" s="1"/>
  <c r="AN7"/>
  <c r="AN23" s="1"/>
  <c r="AJ7"/>
  <c r="AJ23" s="1"/>
  <c r="AF7"/>
  <c r="AF23" s="1"/>
  <c r="AB7"/>
  <c r="AB23" s="1"/>
  <c r="X7"/>
  <c r="X23" s="1"/>
  <c r="T7"/>
  <c r="T23" s="1"/>
  <c r="P7"/>
  <c r="P23" s="1"/>
  <c r="L7"/>
  <c r="L23" s="1"/>
  <c r="H7"/>
  <c r="H23" s="1"/>
  <c r="AU6"/>
  <c r="AU22" s="1"/>
  <c r="AQ6"/>
  <c r="AM6"/>
  <c r="AM22" s="1"/>
  <c r="AI6"/>
  <c r="AI22" s="1"/>
  <c r="AE6"/>
  <c r="AE22" s="1"/>
  <c r="AA6"/>
  <c r="AA22" s="1"/>
  <c r="W6"/>
  <c r="W22" s="1"/>
  <c r="S6"/>
  <c r="S22" s="1"/>
  <c r="O6"/>
  <c r="O22" s="1"/>
  <c r="F19"/>
  <c r="AS53"/>
  <c r="AO53"/>
  <c r="AK53"/>
  <c r="AG53"/>
  <c r="AC53"/>
  <c r="Y53"/>
  <c r="U53"/>
  <c r="Q53"/>
  <c r="G20" i="1"/>
  <c r="G20" i="4" s="1"/>
  <c r="L20" i="1"/>
  <c r="L20" i="4" s="1"/>
  <c r="E52" i="2"/>
  <c r="E52" i="5" s="1"/>
  <c r="I52" i="2"/>
  <c r="I52" i="5" s="1"/>
  <c r="M52" i="2"/>
  <c r="M52" i="5" s="1"/>
  <c r="J21" i="4"/>
  <c r="AV6" i="5"/>
  <c r="AV22" s="1"/>
  <c r="AR6"/>
  <c r="AR22" s="1"/>
  <c r="AN6"/>
  <c r="AN22" s="1"/>
  <c r="AN21" s="1"/>
  <c r="AJ6"/>
  <c r="AJ22" s="1"/>
  <c r="AJ21" s="1"/>
  <c r="AF6"/>
  <c r="AF22" s="1"/>
  <c r="AB6"/>
  <c r="AB22" s="1"/>
  <c r="X6"/>
  <c r="X22" s="1"/>
  <c r="X21" s="1"/>
  <c r="T6"/>
  <c r="T22" s="1"/>
  <c r="T21" s="1"/>
  <c r="P6"/>
  <c r="P22" s="1"/>
  <c r="L6"/>
  <c r="L22" s="1"/>
  <c r="L21" s="1"/>
  <c r="H6"/>
  <c r="H22" s="1"/>
  <c r="H21" s="1"/>
  <c r="J18"/>
  <c r="F18"/>
  <c r="AT7"/>
  <c r="AP7"/>
  <c r="AP23" s="1"/>
  <c r="AL7"/>
  <c r="AL23" s="1"/>
  <c r="AH7"/>
  <c r="AH23" s="1"/>
  <c r="AD7"/>
  <c r="AD23" s="1"/>
  <c r="Z7"/>
  <c r="Z23" s="1"/>
  <c r="V7"/>
  <c r="V23" s="1"/>
  <c r="R7"/>
  <c r="R23" s="1"/>
  <c r="N7"/>
  <c r="N23" s="1"/>
  <c r="J7"/>
  <c r="J23" s="1"/>
  <c r="F7"/>
  <c r="K18"/>
  <c r="AU53"/>
  <c r="AQ53"/>
  <c r="AM53"/>
  <c r="AI53"/>
  <c r="AE53"/>
  <c r="AA53"/>
  <c r="W53"/>
  <c r="S53"/>
  <c r="L46" i="1"/>
  <c r="G23" i="2"/>
  <c r="G42" s="1"/>
  <c r="G42" i="5" s="1"/>
  <c r="K23" i="2"/>
  <c r="K42" s="1"/>
  <c r="K42" i="5" s="1"/>
  <c r="J46" i="4"/>
  <c r="AU7" i="5"/>
  <c r="AQ7"/>
  <c r="AQ23" s="1"/>
  <c r="AM7"/>
  <c r="AM23" s="1"/>
  <c r="AI7"/>
  <c r="AI23" s="1"/>
  <c r="AE7"/>
  <c r="AE23" s="1"/>
  <c r="AA7"/>
  <c r="AA23" s="1"/>
  <c r="W7"/>
  <c r="W23" s="1"/>
  <c r="S7"/>
  <c r="S23" s="1"/>
  <c r="O7"/>
  <c r="O23" s="1"/>
  <c r="K7"/>
  <c r="K23" s="1"/>
  <c r="G7"/>
  <c r="G23" s="1"/>
  <c r="AT6"/>
  <c r="AT22" s="1"/>
  <c r="AP6"/>
  <c r="AL6"/>
  <c r="AL22" s="1"/>
  <c r="AL21" s="1"/>
  <c r="AH6"/>
  <c r="AH22" s="1"/>
  <c r="AD6"/>
  <c r="AD22" s="1"/>
  <c r="Z6"/>
  <c r="Z22" s="1"/>
  <c r="V6"/>
  <c r="V22" s="1"/>
  <c r="V21" s="1"/>
  <c r="R6"/>
  <c r="R22" s="1"/>
  <c r="R21" s="1"/>
  <c r="N6"/>
  <c r="N22" s="1"/>
  <c r="J6"/>
  <c r="J22" s="1"/>
  <c r="F6"/>
  <c r="F22" s="1"/>
  <c r="AR21"/>
  <c r="O21"/>
  <c r="AH21"/>
  <c r="M21"/>
  <c r="Q21"/>
  <c r="U21"/>
  <c r="Y21"/>
  <c r="AG21"/>
  <c r="H41" i="2"/>
  <c r="H21"/>
  <c r="L41"/>
  <c r="L21"/>
  <c r="P41"/>
  <c r="P21"/>
  <c r="T41"/>
  <c r="T21"/>
  <c r="X41"/>
  <c r="X21"/>
  <c r="AB41"/>
  <c r="AB21"/>
  <c r="AF41"/>
  <c r="AF21"/>
  <c r="AJ41"/>
  <c r="AJ21"/>
  <c r="AN41"/>
  <c r="AN21"/>
  <c r="AR41"/>
  <c r="AR21"/>
  <c r="AV41"/>
  <c r="AV21"/>
  <c r="O41"/>
  <c r="O21"/>
  <c r="S41"/>
  <c r="S21"/>
  <c r="W41"/>
  <c r="W21"/>
  <c r="AA41"/>
  <c r="AA21"/>
  <c r="AE41"/>
  <c r="AE21"/>
  <c r="AI41"/>
  <c r="AI21"/>
  <c r="AM41"/>
  <c r="AM21"/>
  <c r="AQ41"/>
  <c r="AQ21"/>
  <c r="AU41"/>
  <c r="AU21"/>
  <c r="F41"/>
  <c r="J21"/>
  <c r="J41"/>
  <c r="N21"/>
  <c r="N41"/>
  <c r="R21"/>
  <c r="R41"/>
  <c r="V21"/>
  <c r="V41"/>
  <c r="Z21"/>
  <c r="Z41"/>
  <c r="AD21"/>
  <c r="AD41"/>
  <c r="AH21"/>
  <c r="AH41"/>
  <c r="AL21"/>
  <c r="AL41"/>
  <c r="AP21"/>
  <c r="AP41"/>
  <c r="AT21"/>
  <c r="AT41"/>
  <c r="M22"/>
  <c r="Q22"/>
  <c r="U22"/>
  <c r="Y22"/>
  <c r="AC22"/>
  <c r="AG22"/>
  <c r="AK22"/>
  <c r="AO22"/>
  <c r="AS22"/>
  <c r="E23"/>
  <c r="I23"/>
  <c r="I42" s="1"/>
  <c r="I42" i="5" s="1"/>
  <c r="M23" i="2"/>
  <c r="M42" s="1"/>
  <c r="M42" i="5" s="1"/>
  <c r="Q23" i="2"/>
  <c r="Q42" s="1"/>
  <c r="Q42" i="5" s="1"/>
  <c r="U23" i="2"/>
  <c r="U42" s="1"/>
  <c r="U42" i="5" s="1"/>
  <c r="Y23" i="2"/>
  <c r="Y42" s="1"/>
  <c r="Y42" i="5" s="1"/>
  <c r="AC23" i="2"/>
  <c r="AC42" s="1"/>
  <c r="AC42" i="5" s="1"/>
  <c r="AG23" i="2"/>
  <c r="AG42" s="1"/>
  <c r="AG42" i="5" s="1"/>
  <c r="AK23" i="2"/>
  <c r="AK42" s="1"/>
  <c r="AK42" i="5" s="1"/>
  <c r="AO23" i="2"/>
  <c r="AO42" s="1"/>
  <c r="AO42" i="5" s="1"/>
  <c r="AS23" i="2"/>
  <c r="AS42" s="1"/>
  <c r="AS42" i="5" s="1"/>
  <c r="G10" i="2"/>
  <c r="K10"/>
  <c r="E10"/>
  <c r="I10"/>
  <c r="G29" i="1"/>
  <c r="G29" i="4" s="1"/>
  <c r="G12" i="1"/>
  <c r="G12" i="4" s="1"/>
  <c r="K29" i="1"/>
  <c r="K29" i="4" s="1"/>
  <c r="K12" i="1"/>
  <c r="K12" i="4" s="1"/>
  <c r="O29" i="1"/>
  <c r="O29" i="4" s="1"/>
  <c r="O12" i="1"/>
  <c r="O12" i="4" s="1"/>
  <c r="R38" i="1"/>
  <c r="R38" i="4" s="1"/>
  <c r="R28" i="1"/>
  <c r="R28" i="4" s="1"/>
  <c r="F12" i="1"/>
  <c r="F12" i="4" s="1"/>
  <c r="F29" i="1"/>
  <c r="F29" i="4" s="1"/>
  <c r="J12" i="1"/>
  <c r="J12" i="4" s="1"/>
  <c r="J29" i="1"/>
  <c r="J29" i="4" s="1"/>
  <c r="N12" i="1"/>
  <c r="N12" i="4" s="1"/>
  <c r="N29" i="1"/>
  <c r="N29" i="4" s="1"/>
  <c r="V12" i="1"/>
  <c r="V12" i="4" s="1"/>
  <c r="V29" i="1"/>
  <c r="V29" i="4" s="1"/>
  <c r="Z12" i="1"/>
  <c r="Z12" i="4" s="1"/>
  <c r="Z29" i="1"/>
  <c r="Z29" i="4" s="1"/>
  <c r="AD12" i="1"/>
  <c r="AD12" i="4" s="1"/>
  <c r="AD29" i="1"/>
  <c r="AD29" i="4" s="1"/>
  <c r="AH12" i="1"/>
  <c r="AH12" i="4" s="1"/>
  <c r="AH29" i="1"/>
  <c r="AH29" i="4" s="1"/>
  <c r="AL12" i="1"/>
  <c r="AL12" i="4" s="1"/>
  <c r="AL29" i="1"/>
  <c r="AL29" i="4" s="1"/>
  <c r="AP12" i="1"/>
  <c r="AP12" i="4" s="1"/>
  <c r="AP29" i="1"/>
  <c r="AP29" i="4" s="1"/>
  <c r="AT12" i="1"/>
  <c r="AT12" i="4" s="1"/>
  <c r="AT29" i="1"/>
  <c r="AT29" i="4" s="1"/>
  <c r="I60" i="1"/>
  <c r="I60" i="4" s="1"/>
  <c r="E13" i="1"/>
  <c r="E13" i="4" s="1"/>
  <c r="I13" i="1"/>
  <c r="I13" i="4" s="1"/>
  <c r="M13" i="1"/>
  <c r="M13" i="4" s="1"/>
  <c r="Q13" i="1"/>
  <c r="Q13" i="4" s="1"/>
  <c r="G61" i="1"/>
  <c r="K61"/>
  <c r="O61"/>
  <c r="S61"/>
  <c r="W61"/>
  <c r="AA61"/>
  <c r="AE61"/>
  <c r="AI61"/>
  <c r="AM61"/>
  <c r="AQ61"/>
  <c r="AU61"/>
  <c r="AV14"/>
  <c r="AV14" i="4" s="1"/>
  <c r="F61" i="1"/>
  <c r="J61"/>
  <c r="N61"/>
  <c r="V61"/>
  <c r="Z61"/>
  <c r="AD61"/>
  <c r="AH61"/>
  <c r="AL61"/>
  <c r="AP61"/>
  <c r="AT61"/>
  <c r="AV9"/>
  <c r="AV9" i="4" s="1"/>
  <c r="S13" i="1"/>
  <c r="S13" i="4" s="1"/>
  <c r="W13" i="1"/>
  <c r="W13" i="4" s="1"/>
  <c r="AA13" i="1"/>
  <c r="AA13" i="4" s="1"/>
  <c r="AE13" i="1"/>
  <c r="AE13" i="4" s="1"/>
  <c r="AI13" i="1"/>
  <c r="AI13" i="4" s="1"/>
  <c r="AM13" i="1"/>
  <c r="AM13" i="4" s="1"/>
  <c r="AQ13" i="1"/>
  <c r="AQ13" i="4" s="1"/>
  <c r="AU13" i="1"/>
  <c r="AU13" i="4" s="1"/>
  <c r="N21" i="5" l="1"/>
  <c r="AD21"/>
  <c r="AS22"/>
  <c r="F23"/>
  <c r="F21" s="1"/>
  <c r="AE21"/>
  <c r="AB21"/>
  <c r="AI21"/>
  <c r="J21"/>
  <c r="Z21"/>
  <c r="AP22"/>
  <c r="AP21" s="1"/>
  <c r="AU23"/>
  <c r="AU21" s="1"/>
  <c r="AT23"/>
  <c r="AT21" s="1"/>
  <c r="AA21"/>
  <c r="AQ22"/>
  <c r="AQ21" s="1"/>
  <c r="P21"/>
  <c r="AF21"/>
  <c r="AV21"/>
  <c r="AK23"/>
  <c r="AK21" s="1"/>
  <c r="W21"/>
  <c r="AM21"/>
  <c r="AO23"/>
  <c r="AO21" s="1"/>
  <c r="AS23"/>
  <c r="AS21" s="1"/>
  <c r="AC22"/>
  <c r="S21"/>
  <c r="AC23"/>
  <c r="AT60" i="1"/>
  <c r="AT60" i="4" s="1"/>
  <c r="AT61"/>
  <c r="AA60" i="1"/>
  <c r="AA60" i="4" s="1"/>
  <c r="AA61"/>
  <c r="N60" i="1"/>
  <c r="N60" i="4" s="1"/>
  <c r="N61"/>
  <c r="AE60" i="1"/>
  <c r="AE60" i="4" s="1"/>
  <c r="AE61"/>
  <c r="AX56" i="1"/>
  <c r="AX56" i="4" s="1"/>
  <c r="AX6" i="2"/>
  <c r="AX5" s="1"/>
  <c r="AX5" i="5" s="1"/>
  <c r="AX57" i="4"/>
  <c r="AL60" i="1"/>
  <c r="AL60" i="4" s="1"/>
  <c r="AL61"/>
  <c r="V60" i="1"/>
  <c r="V60" i="4" s="1"/>
  <c r="V61"/>
  <c r="AI60" i="1"/>
  <c r="AI60" i="4" s="1"/>
  <c r="AI61"/>
  <c r="S60" i="1"/>
  <c r="S60" i="4" s="1"/>
  <c r="S61"/>
  <c r="AX7" i="5"/>
  <c r="AX23" s="1"/>
  <c r="AX23" i="2"/>
  <c r="AX42" s="1"/>
  <c r="AO29" i="1"/>
  <c r="AO13" i="4"/>
  <c r="AO12" i="1"/>
  <c r="AO12" i="4" s="1"/>
  <c r="T29" i="1"/>
  <c r="T13" i="4"/>
  <c r="T12" i="1"/>
  <c r="T12" i="4" s="1"/>
  <c r="U29" i="1"/>
  <c r="U12"/>
  <c r="U12" i="4" s="1"/>
  <c r="U13"/>
  <c r="M60" i="1"/>
  <c r="M60" i="4" s="1"/>
  <c r="M61"/>
  <c r="P29" i="1"/>
  <c r="P12"/>
  <c r="P12" i="4" s="1"/>
  <c r="P13"/>
  <c r="AU58" i="1"/>
  <c r="AU58" i="4" s="1"/>
  <c r="AU46"/>
  <c r="AM58" i="1"/>
  <c r="AM58" i="4" s="1"/>
  <c r="AM46"/>
  <c r="AE58" i="1"/>
  <c r="AE58" i="4" s="1"/>
  <c r="AE46"/>
  <c r="W58" i="1"/>
  <c r="W58" i="4" s="1"/>
  <c r="W46"/>
  <c r="O58" i="1"/>
  <c r="O58" i="4" s="1"/>
  <c r="O46"/>
  <c r="G58" i="1"/>
  <c r="G58" i="4" s="1"/>
  <c r="G46"/>
  <c r="K46"/>
  <c r="T60" i="1"/>
  <c r="T60" i="4" s="1"/>
  <c r="AD60" i="1"/>
  <c r="AD60" i="4" s="1"/>
  <c r="AD61"/>
  <c r="AQ60" i="1"/>
  <c r="AQ60" i="4" s="1"/>
  <c r="AQ61"/>
  <c r="AP60" i="1"/>
  <c r="AP60" i="4" s="1"/>
  <c r="AP61"/>
  <c r="Z60" i="1"/>
  <c r="Z60" i="4" s="1"/>
  <c r="Z61"/>
  <c r="F60" i="1"/>
  <c r="F60" i="4" s="1"/>
  <c r="F61"/>
  <c r="AM60" i="1"/>
  <c r="AM60" i="4" s="1"/>
  <c r="AM61"/>
  <c r="W60" i="1"/>
  <c r="W60" i="4" s="1"/>
  <c r="W61"/>
  <c r="G60" i="1"/>
  <c r="G60" i="4" s="1"/>
  <c r="G61"/>
  <c r="AX52" i="2"/>
  <c r="AX52" i="5" s="1"/>
  <c r="AX53"/>
  <c r="AS46" i="1"/>
  <c r="AS39" i="4"/>
  <c r="AK46" i="1"/>
  <c r="AK39" i="4"/>
  <c r="AC46" i="1"/>
  <c r="AC39" i="4"/>
  <c r="U46" i="1"/>
  <c r="U39" i="4"/>
  <c r="M46" i="1"/>
  <c r="M39" i="4"/>
  <c r="AB29" i="1"/>
  <c r="AB13" i="4"/>
  <c r="AB12" i="1"/>
  <c r="AB12" i="4" s="1"/>
  <c r="AP58" i="1"/>
  <c r="AP58" i="4" s="1"/>
  <c r="AP46"/>
  <c r="AH58" i="1"/>
  <c r="AH58" i="4" s="1"/>
  <c r="AH46"/>
  <c r="Z58" i="1"/>
  <c r="Z58" i="4" s="1"/>
  <c r="Z46"/>
  <c r="R58" i="1"/>
  <c r="R58" i="4" s="1"/>
  <c r="R46"/>
  <c r="AC29" i="1"/>
  <c r="AC12"/>
  <c r="AC12" i="4" s="1"/>
  <c r="AC13"/>
  <c r="Q60" i="1"/>
  <c r="Q60" i="4" s="1"/>
  <c r="Q61"/>
  <c r="AF29" i="1"/>
  <c r="AF12"/>
  <c r="AF12" i="4" s="1"/>
  <c r="AF13"/>
  <c r="U60" i="1"/>
  <c r="U60" i="4" s="1"/>
  <c r="K60" i="1"/>
  <c r="K60" i="4" s="1"/>
  <c r="K61"/>
  <c r="E46" i="1"/>
  <c r="E39" i="4"/>
  <c r="Y29" i="1"/>
  <c r="Y13" i="4"/>
  <c r="Y12" i="1"/>
  <c r="Y12" i="4" s="1"/>
  <c r="AJ29" i="1"/>
  <c r="AJ12"/>
  <c r="AJ12" i="4" s="1"/>
  <c r="AJ13"/>
  <c r="AK29" i="1"/>
  <c r="AK12"/>
  <c r="AK12" i="4" s="1"/>
  <c r="AK13"/>
  <c r="E60" i="1"/>
  <c r="E60" i="4" s="1"/>
  <c r="E61"/>
  <c r="AN29" i="1"/>
  <c r="AN12"/>
  <c r="AN12" i="4" s="1"/>
  <c r="AN13"/>
  <c r="AQ58" i="1"/>
  <c r="AQ58" i="4" s="1"/>
  <c r="AQ46"/>
  <c r="AI58" i="1"/>
  <c r="AI58" i="4" s="1"/>
  <c r="AI46"/>
  <c r="AA58" i="1"/>
  <c r="AA58" i="4" s="1"/>
  <c r="AA46"/>
  <c r="S58" i="1"/>
  <c r="S58" i="4" s="1"/>
  <c r="S46"/>
  <c r="I46" i="1"/>
  <c r="I39" i="4"/>
  <c r="J60" i="1"/>
  <c r="J60" i="4" s="1"/>
  <c r="J61"/>
  <c r="AH60" i="1"/>
  <c r="AH60" i="4" s="1"/>
  <c r="AH61"/>
  <c r="AU60" i="1"/>
  <c r="AU60" i="4" s="1"/>
  <c r="AU61"/>
  <c r="O60" i="1"/>
  <c r="O60" i="4" s="1"/>
  <c r="O61"/>
  <c r="AY53" i="5"/>
  <c r="AY52" i="2"/>
  <c r="AY52" i="5" s="1"/>
  <c r="AW7"/>
  <c r="AW23" s="1"/>
  <c r="AW23" i="2"/>
  <c r="AW42" s="1"/>
  <c r="AW42" i="5" s="1"/>
  <c r="X29" i="1"/>
  <c r="X12"/>
  <c r="X12" i="4" s="1"/>
  <c r="X13"/>
  <c r="AG29" i="1"/>
  <c r="AG13" i="4"/>
  <c r="AG12" i="1"/>
  <c r="AG12" i="4" s="1"/>
  <c r="R60" i="1"/>
  <c r="R60" i="4" s="1"/>
  <c r="R61"/>
  <c r="AO46" i="1"/>
  <c r="AO39" i="4"/>
  <c r="AG46" i="1"/>
  <c r="AG39" i="4"/>
  <c r="Y46" i="1"/>
  <c r="Y39" i="4"/>
  <c r="Q46" i="1"/>
  <c r="Q39" i="4"/>
  <c r="AR29" i="1"/>
  <c r="AR13" i="4"/>
  <c r="AR12" i="1"/>
  <c r="AR12" i="4" s="1"/>
  <c r="H29" i="1"/>
  <c r="H12"/>
  <c r="H12" i="4" s="1"/>
  <c r="H13"/>
  <c r="AT58" i="1"/>
  <c r="AT58" i="4" s="1"/>
  <c r="AT46"/>
  <c r="AL58" i="1"/>
  <c r="AL58" i="4" s="1"/>
  <c r="AL46"/>
  <c r="AD58" i="1"/>
  <c r="AD58" i="4" s="1"/>
  <c r="AD46"/>
  <c r="V58" i="1"/>
  <c r="V58" i="4" s="1"/>
  <c r="V46"/>
  <c r="N58" i="1"/>
  <c r="N58" i="4" s="1"/>
  <c r="N46"/>
  <c r="F58" i="1"/>
  <c r="F58" i="4" s="1"/>
  <c r="F46"/>
  <c r="AS29" i="1"/>
  <c r="AS12"/>
  <c r="AS12" i="4" s="1"/>
  <c r="AS13"/>
  <c r="L13"/>
  <c r="L12" i="1"/>
  <c r="L12" i="4" s="1"/>
  <c r="AV29" i="1"/>
  <c r="AV13" i="4"/>
  <c r="P60" i="1"/>
  <c r="P60" i="4" s="1"/>
  <c r="H60" i="1"/>
  <c r="H60" i="4" s="1"/>
  <c r="AZ44" i="1"/>
  <c r="AZ57"/>
  <c r="AZ56" s="1"/>
  <c r="AW44"/>
  <c r="AW44" i="4" s="1"/>
  <c r="AW57" i="1"/>
  <c r="V40" i="2"/>
  <c r="V40" i="5" s="1"/>
  <c r="V41"/>
  <c r="F40" i="2"/>
  <c r="F40" i="5" s="1"/>
  <c r="F41"/>
  <c r="AE40" i="2"/>
  <c r="AE40" i="5" s="1"/>
  <c r="AE41"/>
  <c r="W40" i="2"/>
  <c r="W40" i="5" s="1"/>
  <c r="W41"/>
  <c r="AJ40" i="2"/>
  <c r="AJ40" i="5" s="1"/>
  <c r="AJ41"/>
  <c r="T40" i="2"/>
  <c r="T40" i="5" s="1"/>
  <c r="T41"/>
  <c r="G9" i="2"/>
  <c r="G9" i="5" s="1"/>
  <c r="G10"/>
  <c r="G22" s="1"/>
  <c r="G21" s="1"/>
  <c r="L58" i="1"/>
  <c r="L58" i="4" s="1"/>
  <c r="L46"/>
  <c r="K9" i="2"/>
  <c r="K9" i="5" s="1"/>
  <c r="K10"/>
  <c r="K22" s="1"/>
  <c r="K21" s="1"/>
  <c r="E42" i="2"/>
  <c r="E42" i="5" s="1"/>
  <c r="E23"/>
  <c r="AP40" i="2"/>
  <c r="AP40" i="5" s="1"/>
  <c r="AP41"/>
  <c r="AH40" i="2"/>
  <c r="AH40" i="5" s="1"/>
  <c r="AH41"/>
  <c r="Z40" i="2"/>
  <c r="Z40" i="5" s="1"/>
  <c r="Z41"/>
  <c r="R40" i="2"/>
  <c r="R40" i="5" s="1"/>
  <c r="R41"/>
  <c r="J40" i="2"/>
  <c r="J40" i="5" s="1"/>
  <c r="J41"/>
  <c r="AQ40" i="2"/>
  <c r="AQ40" i="5" s="1"/>
  <c r="AQ41"/>
  <c r="AI40" i="2"/>
  <c r="AI40" i="5" s="1"/>
  <c r="AI41"/>
  <c r="AA40" i="2"/>
  <c r="AA40" i="5" s="1"/>
  <c r="AA41"/>
  <c r="S40" i="2"/>
  <c r="S40" i="5" s="1"/>
  <c r="S41"/>
  <c r="AV40" i="2"/>
  <c r="AV40" i="5" s="1"/>
  <c r="AV41"/>
  <c r="AN40" i="2"/>
  <c r="AN40" i="5" s="1"/>
  <c r="AN41"/>
  <c r="AF40" i="2"/>
  <c r="AF40" i="5" s="1"/>
  <c r="AF41"/>
  <c r="X40" i="2"/>
  <c r="X40" i="5" s="1"/>
  <c r="X41"/>
  <c r="P40" i="2"/>
  <c r="P40" i="5" s="1"/>
  <c r="P41"/>
  <c r="H40" i="2"/>
  <c r="H40" i="5" s="1"/>
  <c r="H41"/>
  <c r="E9" i="2"/>
  <c r="E9" i="5" s="1"/>
  <c r="E10"/>
  <c r="L38" i="1"/>
  <c r="L38" i="4" s="1"/>
  <c r="K22" i="2"/>
  <c r="K41" s="1"/>
  <c r="L28" i="1"/>
  <c r="L28" i="4" s="1"/>
  <c r="F21" i="2"/>
  <c r="AT40"/>
  <c r="AT40" i="5" s="1"/>
  <c r="AT41"/>
  <c r="N40" i="2"/>
  <c r="N40" i="5" s="1"/>
  <c r="N41"/>
  <c r="AM40" i="2"/>
  <c r="AM40" i="5" s="1"/>
  <c r="AM41"/>
  <c r="AR40" i="2"/>
  <c r="AR40" i="5" s="1"/>
  <c r="AR41"/>
  <c r="L40" i="2"/>
  <c r="L40" i="5" s="1"/>
  <c r="L41"/>
  <c r="AL40" i="2"/>
  <c r="AL40" i="5" s="1"/>
  <c r="AL41"/>
  <c r="AB40" i="2"/>
  <c r="AB40" i="5" s="1"/>
  <c r="AB41"/>
  <c r="I9" i="2"/>
  <c r="I9" i="5" s="1"/>
  <c r="I10"/>
  <c r="I22" s="1"/>
  <c r="I21" s="1"/>
  <c r="AD40" i="2"/>
  <c r="AD40" i="5" s="1"/>
  <c r="AD41"/>
  <c r="AU40" i="2"/>
  <c r="AU40" i="5" s="1"/>
  <c r="AU41"/>
  <c r="O40" i="2"/>
  <c r="O40" i="5" s="1"/>
  <c r="O41"/>
  <c r="AK21" i="2"/>
  <c r="AK41"/>
  <c r="U21"/>
  <c r="U41"/>
  <c r="E22"/>
  <c r="E22" i="5" s="1"/>
  <c r="G22" i="2"/>
  <c r="AO21"/>
  <c r="AO41"/>
  <c r="Y21"/>
  <c r="Y41"/>
  <c r="K21"/>
  <c r="I22"/>
  <c r="AS21"/>
  <c r="AS41"/>
  <c r="AC21"/>
  <c r="AC41"/>
  <c r="M21"/>
  <c r="M41"/>
  <c r="AG21"/>
  <c r="AG41"/>
  <c r="Q21"/>
  <c r="Q41"/>
  <c r="AI29" i="1"/>
  <c r="AI29" i="4" s="1"/>
  <c r="AI12" i="1"/>
  <c r="AI12" i="4" s="1"/>
  <c r="S29" i="1"/>
  <c r="S29" i="4" s="1"/>
  <c r="S12" i="1"/>
  <c r="S12" i="4" s="1"/>
  <c r="AV12" i="1"/>
  <c r="AV12" i="4" s="1"/>
  <c r="AV30" i="1"/>
  <c r="AV30" i="4" s="1"/>
  <c r="Q29" i="1"/>
  <c r="Q29" i="4" s="1"/>
  <c r="Q12" i="1"/>
  <c r="Q12" i="4" s="1"/>
  <c r="R45" i="1"/>
  <c r="R45" i="4" s="1"/>
  <c r="R37" i="1"/>
  <c r="R37" i="4" s="1"/>
  <c r="K38" i="1"/>
  <c r="K38" i="4" s="1"/>
  <c r="K28" i="1"/>
  <c r="K28" i="4" s="1"/>
  <c r="AM29" i="1"/>
  <c r="AM29" i="4" s="1"/>
  <c r="AM12" i="1"/>
  <c r="AM12" i="4" s="1"/>
  <c r="W29" i="1"/>
  <c r="W29" i="4" s="1"/>
  <c r="W12" i="1"/>
  <c r="W12" i="4" s="1"/>
  <c r="E29" i="1"/>
  <c r="E29" i="4" s="1"/>
  <c r="E12" i="1"/>
  <c r="E12" i="4" s="1"/>
  <c r="AT38" i="1"/>
  <c r="AT38" i="4" s="1"/>
  <c r="AT28" i="1"/>
  <c r="AT28" i="4" s="1"/>
  <c r="AL38" i="1"/>
  <c r="AL38" i="4" s="1"/>
  <c r="AL28" i="1"/>
  <c r="AL28" i="4" s="1"/>
  <c r="AD38" i="1"/>
  <c r="AD38" i="4" s="1"/>
  <c r="AD28" i="1"/>
  <c r="AD28" i="4" s="1"/>
  <c r="V38" i="1"/>
  <c r="V38" i="4" s="1"/>
  <c r="V28" i="1"/>
  <c r="V28" i="4" s="1"/>
  <c r="J38" i="1"/>
  <c r="J38" i="4" s="1"/>
  <c r="J28" i="1"/>
  <c r="J28" i="4" s="1"/>
  <c r="AQ29" i="1"/>
  <c r="AQ29" i="4" s="1"/>
  <c r="AQ12" i="1"/>
  <c r="AQ12" i="4" s="1"/>
  <c r="AA29" i="1"/>
  <c r="AA29" i="4" s="1"/>
  <c r="AA12" i="1"/>
  <c r="AA12" i="4" s="1"/>
  <c r="I29" i="1"/>
  <c r="I29" i="4" s="1"/>
  <c r="I12" i="1"/>
  <c r="I12" i="4" s="1"/>
  <c r="L45" i="1"/>
  <c r="L45" i="4" s="1"/>
  <c r="L37" i="1"/>
  <c r="L37" i="4" s="1"/>
  <c r="O38" i="1"/>
  <c r="O38" i="4" s="1"/>
  <c r="O28" i="1"/>
  <c r="O28" i="4" s="1"/>
  <c r="G38" i="1"/>
  <c r="G38" i="4" s="1"/>
  <c r="G28" i="1"/>
  <c r="G28" i="4" s="1"/>
  <c r="AU29" i="1"/>
  <c r="AU29" i="4" s="1"/>
  <c r="AU12" i="1"/>
  <c r="AU12" i="4" s="1"/>
  <c r="AE29" i="1"/>
  <c r="AE29" i="4" s="1"/>
  <c r="AE12" i="1"/>
  <c r="AE12" i="4" s="1"/>
  <c r="M29" i="1"/>
  <c r="M29" i="4" s="1"/>
  <c r="M12" i="1"/>
  <c r="M12" i="4" s="1"/>
  <c r="AP38" i="1"/>
  <c r="AP38" i="4" s="1"/>
  <c r="AP28" i="1"/>
  <c r="AP28" i="4" s="1"/>
  <c r="AH38" i="1"/>
  <c r="AH38" i="4" s="1"/>
  <c r="AH28" i="1"/>
  <c r="AH28" i="4" s="1"/>
  <c r="Z38" i="1"/>
  <c r="Z38" i="4" s="1"/>
  <c r="Z28" i="1"/>
  <c r="Z28" i="4" s="1"/>
  <c r="N38" i="1"/>
  <c r="N38" i="4" s="1"/>
  <c r="N28" i="1"/>
  <c r="N28" i="4" s="1"/>
  <c r="F38" i="1"/>
  <c r="F38" i="4" s="1"/>
  <c r="F28" i="1"/>
  <c r="F28" i="4" s="1"/>
  <c r="AC21" i="5" l="1"/>
  <c r="AW56" i="1"/>
  <c r="AW56" i="4" s="1"/>
  <c r="AW57"/>
  <c r="AW6" i="2"/>
  <c r="AS29" i="4"/>
  <c r="AS28" i="1"/>
  <c r="AS28" i="4" s="1"/>
  <c r="AS38" i="1"/>
  <c r="Q58"/>
  <c r="Q58" i="4" s="1"/>
  <c r="Q46"/>
  <c r="AG58" i="1"/>
  <c r="AG58" i="4" s="1"/>
  <c r="AG46"/>
  <c r="I58" i="1"/>
  <c r="I58" i="4" s="1"/>
  <c r="I46"/>
  <c r="AK29"/>
  <c r="AK28" i="1"/>
  <c r="AK28" i="4" s="1"/>
  <c r="AK38" i="1"/>
  <c r="E58"/>
  <c r="E58" i="4" s="1"/>
  <c r="E46"/>
  <c r="M58" i="1"/>
  <c r="M58" i="4" s="1"/>
  <c r="M46"/>
  <c r="AC58" i="1"/>
  <c r="AC58" i="4" s="1"/>
  <c r="AC46"/>
  <c r="AS58" i="1"/>
  <c r="AS58" i="4" s="1"/>
  <c r="AS46"/>
  <c r="U29"/>
  <c r="U28" i="1"/>
  <c r="U28" i="4" s="1"/>
  <c r="U38" i="1"/>
  <c r="AV29" i="4"/>
  <c r="AV38" i="1"/>
  <c r="H29" i="4"/>
  <c r="H28" i="1"/>
  <c r="H28" i="4" s="1"/>
  <c r="H38" i="1"/>
  <c r="AG29" i="4"/>
  <c r="AG38" i="1"/>
  <c r="AG28"/>
  <c r="AG28" i="4" s="1"/>
  <c r="AN29"/>
  <c r="AN28" i="1"/>
  <c r="AN28" i="4" s="1"/>
  <c r="AN38" i="1"/>
  <c r="AJ29" i="4"/>
  <c r="AJ38" i="1"/>
  <c r="AJ28"/>
  <c r="AJ28" i="4" s="1"/>
  <c r="AC29"/>
  <c r="AC28" i="1"/>
  <c r="AC28" i="4" s="1"/>
  <c r="AC38" i="1"/>
  <c r="P29" i="4"/>
  <c r="P28" i="1"/>
  <c r="P28" i="4" s="1"/>
  <c r="P38" i="1"/>
  <c r="T29" i="4"/>
  <c r="T38" i="1"/>
  <c r="T28"/>
  <c r="T28" i="4" s="1"/>
  <c r="AX42" i="5"/>
  <c r="AX22" i="2"/>
  <c r="AX6" i="5"/>
  <c r="AX22" s="1"/>
  <c r="AX21" s="1"/>
  <c r="AR29" i="4"/>
  <c r="AR38" i="1"/>
  <c r="AR28"/>
  <c r="AR28" i="4" s="1"/>
  <c r="Y58" i="1"/>
  <c r="Y58" i="4" s="1"/>
  <c r="Y46"/>
  <c r="AO58" i="1"/>
  <c r="AO58" i="4" s="1"/>
  <c r="AO46"/>
  <c r="X29"/>
  <c r="X28" i="1"/>
  <c r="X28" i="4" s="1"/>
  <c r="X38" i="1"/>
  <c r="Y29" i="4"/>
  <c r="Y38" i="1"/>
  <c r="Y28"/>
  <c r="Y28" i="4" s="1"/>
  <c r="AF29"/>
  <c r="AF28" i="1"/>
  <c r="AF28" i="4" s="1"/>
  <c r="AF38" i="1"/>
  <c r="AB29" i="4"/>
  <c r="AB38" i="1"/>
  <c r="AB28"/>
  <c r="AB28" i="4" s="1"/>
  <c r="U58" i="1"/>
  <c r="U58" i="4" s="1"/>
  <c r="U46"/>
  <c r="AK58" i="1"/>
  <c r="AK58" i="4" s="1"/>
  <c r="AK46"/>
  <c r="AO29"/>
  <c r="AO38" i="1"/>
  <c r="AO28"/>
  <c r="AO28" i="4" s="1"/>
  <c r="Q40" i="2"/>
  <c r="Q40" i="5" s="1"/>
  <c r="Q41"/>
  <c r="AS40" i="2"/>
  <c r="AS40" i="5" s="1"/>
  <c r="AS41"/>
  <c r="K40" i="2"/>
  <c r="K40" i="5" s="1"/>
  <c r="K41"/>
  <c r="M40" i="2"/>
  <c r="M40" i="5" s="1"/>
  <c r="M41"/>
  <c r="AO40" i="2"/>
  <c r="AO40" i="5" s="1"/>
  <c r="AO41"/>
  <c r="U40" i="2"/>
  <c r="U40" i="5" s="1"/>
  <c r="U41"/>
  <c r="AG40" i="2"/>
  <c r="AG40" i="5" s="1"/>
  <c r="AG41"/>
  <c r="AC40" i="2"/>
  <c r="AC40" i="5" s="1"/>
  <c r="AC41"/>
  <c r="Y40" i="2"/>
  <c r="Y40" i="5" s="1"/>
  <c r="Y41"/>
  <c r="AK40" i="2"/>
  <c r="AK40" i="5" s="1"/>
  <c r="AK41"/>
  <c r="I21" i="2"/>
  <c r="I41"/>
  <c r="E21"/>
  <c r="E21" i="5" s="1"/>
  <c r="E41" i="2"/>
  <c r="G41"/>
  <c r="G21"/>
  <c r="Z45" i="1"/>
  <c r="Z45" i="4" s="1"/>
  <c r="Z37" i="1"/>
  <c r="Z37" i="4" s="1"/>
  <c r="M38" i="1"/>
  <c r="M38" i="4" s="1"/>
  <c r="M28" i="1"/>
  <c r="M28" i="4" s="1"/>
  <c r="G45" i="1"/>
  <c r="G45" i="4" s="1"/>
  <c r="G37" i="1"/>
  <c r="G37" i="4" s="1"/>
  <c r="L57" i="1"/>
  <c r="L44"/>
  <c r="L44" i="4" s="1"/>
  <c r="AA38" i="1"/>
  <c r="AA38" i="4" s="1"/>
  <c r="AA28" i="1"/>
  <c r="AA28" i="4" s="1"/>
  <c r="J45" i="1"/>
  <c r="J45" i="4" s="1"/>
  <c r="J37" i="1"/>
  <c r="J37" i="4" s="1"/>
  <c r="AD45" i="1"/>
  <c r="AD45" i="4" s="1"/>
  <c r="AD37" i="1"/>
  <c r="AD37" i="4" s="1"/>
  <c r="AT45" i="1"/>
  <c r="AT45" i="4" s="1"/>
  <c r="AT37" i="1"/>
  <c r="AT37" i="4" s="1"/>
  <c r="E38" i="1"/>
  <c r="E38" i="4" s="1"/>
  <c r="E28" i="1"/>
  <c r="E28" i="4" s="1"/>
  <c r="AM38" i="1"/>
  <c r="AM38" i="4" s="1"/>
  <c r="AM28" i="1"/>
  <c r="AM28" i="4" s="1"/>
  <c r="R57" i="1"/>
  <c r="R44"/>
  <c r="R44" i="4" s="1"/>
  <c r="AI38" i="1"/>
  <c r="AI38" i="4" s="1"/>
  <c r="AI28" i="1"/>
  <c r="AI28" i="4" s="1"/>
  <c r="AV39" i="1"/>
  <c r="AV39" i="4" s="1"/>
  <c r="AV28" i="1"/>
  <c r="AV28" i="4" s="1"/>
  <c r="AH45" i="1"/>
  <c r="AH45" i="4" s="1"/>
  <c r="AH37" i="1"/>
  <c r="AH37" i="4" s="1"/>
  <c r="AE38" i="1"/>
  <c r="AE38" i="4" s="1"/>
  <c r="AE28" i="1"/>
  <c r="AE28" i="4" s="1"/>
  <c r="O45" i="1"/>
  <c r="O45" i="4" s="1"/>
  <c r="O37" i="1"/>
  <c r="O37" i="4" s="1"/>
  <c r="I38" i="1"/>
  <c r="I38" i="4" s="1"/>
  <c r="I28" i="1"/>
  <c r="I28" i="4" s="1"/>
  <c r="AQ38" i="1"/>
  <c r="AQ38" i="4" s="1"/>
  <c r="AQ28" i="1"/>
  <c r="AQ28" i="4" s="1"/>
  <c r="V45" i="1"/>
  <c r="V45" i="4" s="1"/>
  <c r="V37" i="1"/>
  <c r="V37" i="4" s="1"/>
  <c r="AL45" i="1"/>
  <c r="AL45" i="4" s="1"/>
  <c r="AL37" i="1"/>
  <c r="AL37" i="4" s="1"/>
  <c r="W38" i="1"/>
  <c r="W38" i="4" s="1"/>
  <c r="W28" i="1"/>
  <c r="W28" i="4" s="1"/>
  <c r="K45" i="1"/>
  <c r="K45" i="4" s="1"/>
  <c r="K37" i="1"/>
  <c r="K37" i="4" s="1"/>
  <c r="Q38" i="1"/>
  <c r="Q38" i="4" s="1"/>
  <c r="Q28" i="1"/>
  <c r="Q28" i="4" s="1"/>
  <c r="S38" i="1"/>
  <c r="S38" i="4" s="1"/>
  <c r="S28" i="1"/>
  <c r="S28" i="4" s="1"/>
  <c r="F45" i="1"/>
  <c r="F45" i="4" s="1"/>
  <c r="F37" i="1"/>
  <c r="F37" i="4" s="1"/>
  <c r="AP45" i="1"/>
  <c r="AP45" i="4" s="1"/>
  <c r="AP37" i="1"/>
  <c r="AP37" i="4" s="1"/>
  <c r="AU38" i="1"/>
  <c r="AU38" i="4" s="1"/>
  <c r="AU28" i="1"/>
  <c r="AU28" i="4" s="1"/>
  <c r="N45" i="1"/>
  <c r="N45" i="4" s="1"/>
  <c r="N37" i="1"/>
  <c r="N37" i="4" s="1"/>
  <c r="AF38" l="1"/>
  <c r="AF45" i="1"/>
  <c r="AF37"/>
  <c r="AF37" i="4" s="1"/>
  <c r="Y38"/>
  <c r="Y37" i="1"/>
  <c r="Y37" i="4" s="1"/>
  <c r="Y45" i="1"/>
  <c r="AN38" i="4"/>
  <c r="AN37" i="1"/>
  <c r="AN37" i="4" s="1"/>
  <c r="AN45" i="1"/>
  <c r="AG38" i="4"/>
  <c r="AG45" i="1"/>
  <c r="AG37"/>
  <c r="AG37" i="4" s="1"/>
  <c r="AO38"/>
  <c r="AO37" i="1"/>
  <c r="AO37" i="4" s="1"/>
  <c r="AO45" i="1"/>
  <c r="P38" i="4"/>
  <c r="P37" i="1"/>
  <c r="P37" i="4" s="1"/>
  <c r="P45" i="1"/>
  <c r="U38" i="4"/>
  <c r="U37" i="1"/>
  <c r="U37" i="4" s="1"/>
  <c r="U45" i="1"/>
  <c r="AS38" i="4"/>
  <c r="AS37" i="1"/>
  <c r="AS37" i="4" s="1"/>
  <c r="AS45" i="1"/>
  <c r="AB38" i="4"/>
  <c r="AB45" i="1"/>
  <c r="AB37"/>
  <c r="AB37" i="4" s="1"/>
  <c r="X38"/>
  <c r="X37" i="1"/>
  <c r="X37" i="4" s="1"/>
  <c r="X45" i="1"/>
  <c r="AR38" i="4"/>
  <c r="AR45" i="1"/>
  <c r="AR37"/>
  <c r="AR37" i="4" s="1"/>
  <c r="AC38"/>
  <c r="AC37" i="1"/>
  <c r="AC37" i="4" s="1"/>
  <c r="AC45" i="1"/>
  <c r="AJ38" i="4"/>
  <c r="AJ45" i="1"/>
  <c r="AJ37"/>
  <c r="AJ37" i="4" s="1"/>
  <c r="H38"/>
  <c r="H45" i="1"/>
  <c r="H37"/>
  <c r="H37" i="4" s="1"/>
  <c r="AK38"/>
  <c r="AK37" i="1"/>
  <c r="AK37" i="4" s="1"/>
  <c r="AK45" i="1"/>
  <c r="AW6" i="5"/>
  <c r="AW22" s="1"/>
  <c r="AW21" s="1"/>
  <c r="AW5" i="2"/>
  <c r="AW5" i="5" s="1"/>
  <c r="AW22" i="2"/>
  <c r="R56" i="1"/>
  <c r="R56" i="4" s="1"/>
  <c r="R57"/>
  <c r="AX41" i="2"/>
  <c r="AX21"/>
  <c r="T38" i="4"/>
  <c r="T37" i="1"/>
  <c r="T37" i="4" s="1"/>
  <c r="T45" i="1"/>
  <c r="AV38" i="4"/>
  <c r="AV45" i="1"/>
  <c r="G40" i="2"/>
  <c r="G40" i="5" s="1"/>
  <c r="G41"/>
  <c r="I40" i="2"/>
  <c r="I40" i="5" s="1"/>
  <c r="I41"/>
  <c r="L56" i="1"/>
  <c r="L56" i="4" s="1"/>
  <c r="L57"/>
  <c r="E40" i="2"/>
  <c r="E40" i="5" s="1"/>
  <c r="E41"/>
  <c r="W45" i="1"/>
  <c r="W45" i="4" s="1"/>
  <c r="W37" i="1"/>
  <c r="W37" i="4" s="1"/>
  <c r="AV46" i="1"/>
  <c r="AV46" i="4" s="1"/>
  <c r="AV37" i="1"/>
  <c r="AV37" i="4" s="1"/>
  <c r="E45" i="1"/>
  <c r="E45" i="4" s="1"/>
  <c r="E37" i="1"/>
  <c r="E37" i="4" s="1"/>
  <c r="AD57" i="1"/>
  <c r="AD44"/>
  <c r="AD44" i="4" s="1"/>
  <c r="AA45" i="1"/>
  <c r="AA45" i="4" s="1"/>
  <c r="AA37" i="1"/>
  <c r="AA37" i="4" s="1"/>
  <c r="G44" i="1"/>
  <c r="G44" i="4" s="1"/>
  <c r="G57" i="1"/>
  <c r="Z57"/>
  <c r="Z44"/>
  <c r="Z44" i="4" s="1"/>
  <c r="AU45" i="1"/>
  <c r="AU45" i="4" s="1"/>
  <c r="AU37" i="1"/>
  <c r="AU37" i="4" s="1"/>
  <c r="F57" i="1"/>
  <c r="F44"/>
  <c r="F44" i="4" s="1"/>
  <c r="K44" i="1"/>
  <c r="K44" i="4" s="1"/>
  <c r="K57" i="1"/>
  <c r="AQ45"/>
  <c r="AQ45" i="4" s="1"/>
  <c r="AQ37" i="1"/>
  <c r="AQ37" i="4" s="1"/>
  <c r="N57" i="1"/>
  <c r="N44"/>
  <c r="N44" i="4" s="1"/>
  <c r="AL57" i="1"/>
  <c r="AL44"/>
  <c r="AL44" i="4" s="1"/>
  <c r="S45" i="1"/>
  <c r="S45" i="4" s="1"/>
  <c r="S37" i="1"/>
  <c r="S37" i="4" s="1"/>
  <c r="V57" i="1"/>
  <c r="V44"/>
  <c r="V44" i="4" s="1"/>
  <c r="O44" i="1"/>
  <c r="O44" i="4" s="1"/>
  <c r="O57" i="1"/>
  <c r="AE45"/>
  <c r="AE45" i="4" s="1"/>
  <c r="AE37" i="1"/>
  <c r="AE37" i="4" s="1"/>
  <c r="AH57" i="1"/>
  <c r="AH44"/>
  <c r="AH44" i="4" s="1"/>
  <c r="AI45" i="1"/>
  <c r="AI45" i="4" s="1"/>
  <c r="AI37" i="1"/>
  <c r="AI37" i="4" s="1"/>
  <c r="AM45" i="1"/>
  <c r="AM45" i="4" s="1"/>
  <c r="AM37" i="1"/>
  <c r="AM37" i="4" s="1"/>
  <c r="AT57" i="1"/>
  <c r="AT44"/>
  <c r="AT44" i="4" s="1"/>
  <c r="J57" i="1"/>
  <c r="J44"/>
  <c r="J44" i="4" s="1"/>
  <c r="M45" i="1"/>
  <c r="M45" i="4" s="1"/>
  <c r="M37" i="1"/>
  <c r="M37" i="4" s="1"/>
  <c r="Q45" i="1"/>
  <c r="Q45" i="4" s="1"/>
  <c r="Q37" i="1"/>
  <c r="Q37" i="4" s="1"/>
  <c r="AP57" i="1"/>
  <c r="AP44"/>
  <c r="AP44" i="4" s="1"/>
  <c r="I45" i="1"/>
  <c r="I45" i="4" s="1"/>
  <c r="I37" i="1"/>
  <c r="I37" i="4" s="1"/>
  <c r="AP56" i="1" l="1"/>
  <c r="AP56" i="4" s="1"/>
  <c r="AP57"/>
  <c r="V56" i="1"/>
  <c r="V56" i="4" s="1"/>
  <c r="V57"/>
  <c r="Z56" i="1"/>
  <c r="Z56" i="4" s="1"/>
  <c r="Z57"/>
  <c r="AJ45"/>
  <c r="AJ44" i="1"/>
  <c r="AJ44" i="4" s="1"/>
  <c r="AJ57" i="1"/>
  <c r="O56"/>
  <c r="O56" i="4" s="1"/>
  <c r="O57"/>
  <c r="AV45"/>
  <c r="AV57" i="1"/>
  <c r="AV57" i="4" s="1"/>
  <c r="AK45"/>
  <c r="AK44" i="1"/>
  <c r="AK44" i="4" s="1"/>
  <c r="AK57" i="1"/>
  <c r="H45" i="4"/>
  <c r="H44" i="1"/>
  <c r="H44" i="4" s="1"/>
  <c r="H57" i="1"/>
  <c r="U45" i="4"/>
  <c r="U57" i="1"/>
  <c r="U44"/>
  <c r="U44" i="4" s="1"/>
  <c r="AN45"/>
  <c r="AN44" i="1"/>
  <c r="AN44" i="4" s="1"/>
  <c r="AN57" i="1"/>
  <c r="AT56"/>
  <c r="AT56" i="4" s="1"/>
  <c r="AT57"/>
  <c r="X45"/>
  <c r="X44" i="1"/>
  <c r="X44" i="4" s="1"/>
  <c r="X57" i="1"/>
  <c r="AB45" i="4"/>
  <c r="AB44" i="1"/>
  <c r="AB44" i="4" s="1"/>
  <c r="AB57" i="1"/>
  <c r="P45" i="4"/>
  <c r="P44" i="1"/>
  <c r="P44" i="4" s="1"/>
  <c r="P57" i="1"/>
  <c r="Y45" i="4"/>
  <c r="Y57" i="1"/>
  <c r="Y44"/>
  <c r="Y44" i="4" s="1"/>
  <c r="AF45"/>
  <c r="AF57" i="1"/>
  <c r="AF44"/>
  <c r="AF44" i="4" s="1"/>
  <c r="AL56" i="1"/>
  <c r="AL56" i="4" s="1"/>
  <c r="AL57"/>
  <c r="T45"/>
  <c r="T57" i="1"/>
  <c r="T44"/>
  <c r="T44" i="4" s="1"/>
  <c r="AX41" i="5"/>
  <c r="AX40" i="2"/>
  <c r="AX40" i="5" s="1"/>
  <c r="AO45" i="4"/>
  <c r="AO44" i="1"/>
  <c r="AO44" i="4" s="1"/>
  <c r="AO57" i="1"/>
  <c r="AG45" i="4"/>
  <c r="AG44" i="1"/>
  <c r="AG44" i="4" s="1"/>
  <c r="AG57" i="1"/>
  <c r="AH56"/>
  <c r="AH56" i="4" s="1"/>
  <c r="AH57"/>
  <c r="N56" i="1"/>
  <c r="N56" i="4" s="1"/>
  <c r="N57"/>
  <c r="AD56" i="1"/>
  <c r="AD56" i="4" s="1"/>
  <c r="AD57"/>
  <c r="AW21" i="2"/>
  <c r="AW41"/>
  <c r="AC45" i="4"/>
  <c r="AC44" i="1"/>
  <c r="AC44" i="4" s="1"/>
  <c r="AC57" i="1"/>
  <c r="AR45" i="4"/>
  <c r="AR44" i="1"/>
  <c r="AR44" i="4" s="1"/>
  <c r="AR57" i="1"/>
  <c r="AS45" i="4"/>
  <c r="AS57" i="1"/>
  <c r="AS44"/>
  <c r="AS44" i="4" s="1"/>
  <c r="F56" i="1"/>
  <c r="F56" i="4" s="1"/>
  <c r="F57"/>
  <c r="J56" i="1"/>
  <c r="J56" i="4" s="1"/>
  <c r="J57"/>
  <c r="K56" i="1"/>
  <c r="K56" i="4" s="1"/>
  <c r="K57"/>
  <c r="G56" i="1"/>
  <c r="G56" i="4" s="1"/>
  <c r="G57"/>
  <c r="AA44" i="1"/>
  <c r="AA44" i="4" s="1"/>
  <c r="AA57" i="1"/>
  <c r="E57"/>
  <c r="E57" i="4" s="1"/>
  <c r="E44" i="1"/>
  <c r="E44" i="4" s="1"/>
  <c r="W44" i="1"/>
  <c r="W44" i="4" s="1"/>
  <c r="W57" i="1"/>
  <c r="M57"/>
  <c r="M44"/>
  <c r="M44" i="4" s="1"/>
  <c r="AI44" i="1"/>
  <c r="AI44" i="4" s="1"/>
  <c r="AI57" i="1"/>
  <c r="AE44"/>
  <c r="AE44" i="4" s="1"/>
  <c r="AE57" i="1"/>
  <c r="AQ44"/>
  <c r="AQ44" i="4" s="1"/>
  <c r="AQ57" i="1"/>
  <c r="AV58"/>
  <c r="AV44"/>
  <c r="AV44" i="4" s="1"/>
  <c r="I57" i="1"/>
  <c r="I44"/>
  <c r="I44" i="4" s="1"/>
  <c r="Q57" i="1"/>
  <c r="Q44"/>
  <c r="Q44" i="4" s="1"/>
  <c r="AM44" i="1"/>
  <c r="AM44" i="4" s="1"/>
  <c r="AM57" i="1"/>
  <c r="S44"/>
  <c r="S44" i="4" s="1"/>
  <c r="S57" i="1"/>
  <c r="AU44"/>
  <c r="AU44" i="4" s="1"/>
  <c r="AU57" i="1"/>
  <c r="AV56" l="1"/>
  <c r="AV56" i="4" s="1"/>
  <c r="AV58"/>
  <c r="AS56" i="1"/>
  <c r="AS56" i="4" s="1"/>
  <c r="AS57"/>
  <c r="H56" i="1"/>
  <c r="H56" i="4" s="1"/>
  <c r="H57"/>
  <c r="AR56" i="1"/>
  <c r="AR56" i="4" s="1"/>
  <c r="AR57"/>
  <c r="AF56" i="1"/>
  <c r="AF56" i="4" s="1"/>
  <c r="AF57"/>
  <c r="AB56" i="1"/>
  <c r="AB56" i="4" s="1"/>
  <c r="AB57"/>
  <c r="AN56" i="1"/>
  <c r="AN56" i="4" s="1"/>
  <c r="AN57"/>
  <c r="U56" i="1"/>
  <c r="U56" i="4" s="1"/>
  <c r="U57"/>
  <c r="AJ56" i="1"/>
  <c r="AJ56" i="4" s="1"/>
  <c r="AJ57"/>
  <c r="AW40" i="2"/>
  <c r="AW40" i="5" s="1"/>
  <c r="AW41"/>
  <c r="AU56" i="1"/>
  <c r="AU56" i="4" s="1"/>
  <c r="AU57"/>
  <c r="AM56" i="1"/>
  <c r="AM56" i="4" s="1"/>
  <c r="AM57"/>
  <c r="AQ56" i="1"/>
  <c r="AQ56" i="4" s="1"/>
  <c r="AQ57"/>
  <c r="AI56" i="1"/>
  <c r="AI56" i="4" s="1"/>
  <c r="AI57"/>
  <c r="W56" i="1"/>
  <c r="W56" i="4" s="1"/>
  <c r="W57"/>
  <c r="AA56" i="1"/>
  <c r="AA56" i="4" s="1"/>
  <c r="AA57"/>
  <c r="AC56" i="1"/>
  <c r="AC56" i="4" s="1"/>
  <c r="AC57"/>
  <c r="T56" i="1"/>
  <c r="T56" i="4" s="1"/>
  <c r="T57"/>
  <c r="Y56" i="1"/>
  <c r="Y56" i="4" s="1"/>
  <c r="Y57"/>
  <c r="X56" i="1"/>
  <c r="X56" i="4" s="1"/>
  <c r="X57"/>
  <c r="M56" i="1"/>
  <c r="M56" i="4" s="1"/>
  <c r="M57"/>
  <c r="Q56" i="1"/>
  <c r="Q56" i="4" s="1"/>
  <c r="Q57"/>
  <c r="AG56" i="1"/>
  <c r="AG56" i="4" s="1"/>
  <c r="AG57"/>
  <c r="S56" i="1"/>
  <c r="S56" i="4" s="1"/>
  <c r="S57"/>
  <c r="AE56" i="1"/>
  <c r="AE56" i="4" s="1"/>
  <c r="AE57"/>
  <c r="AO56" i="1"/>
  <c r="AO56" i="4" s="1"/>
  <c r="AO57"/>
  <c r="P56" i="1"/>
  <c r="P56" i="4" s="1"/>
  <c r="P57"/>
  <c r="AK56" i="1"/>
  <c r="AK56" i="4" s="1"/>
  <c r="AK57"/>
  <c r="I56" i="1"/>
  <c r="I56" i="4" s="1"/>
  <c r="I57"/>
  <c r="E56" i="1"/>
  <c r="E56" i="4" s="1"/>
</calcChain>
</file>

<file path=xl/sharedStrings.xml><?xml version="1.0" encoding="utf-8"?>
<sst xmlns="http://schemas.openxmlformats.org/spreadsheetml/2006/main" count="496" uniqueCount="94">
  <si>
    <r>
      <t xml:space="preserve">Table1-  Outstanding Debt - Consolidated Nonfinancial Public Sector </t>
    </r>
    <r>
      <rPr>
        <b/>
        <u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</si>
  <si>
    <t>In Billions of Pesos</t>
  </si>
  <si>
    <t>March</t>
  </si>
  <si>
    <t>June</t>
  </si>
  <si>
    <t>Sep</t>
  </si>
  <si>
    <t>Dec</t>
  </si>
  <si>
    <t>Mar</t>
  </si>
  <si>
    <t>Jun</t>
  </si>
  <si>
    <t>1.</t>
  </si>
  <si>
    <t>National government</t>
  </si>
  <si>
    <t>Domestic</t>
  </si>
  <si>
    <t>Foreign</t>
  </si>
  <si>
    <t>2.</t>
  </si>
  <si>
    <r>
      <t xml:space="preserve">Minus:  National government debt held by Bond Sinking Fund (BSF) </t>
    </r>
    <r>
      <rPr>
        <u/>
        <sz val="11"/>
        <color indexed="10"/>
        <rFont val="Arial Narrow"/>
        <family val="2"/>
      </rPr>
      <t>2</t>
    </r>
    <r>
      <rPr>
        <sz val="11"/>
        <color indexed="10"/>
        <rFont val="Arial Narrow"/>
        <family val="2"/>
      </rPr>
      <t>/</t>
    </r>
  </si>
  <si>
    <t>3.</t>
  </si>
  <si>
    <t>National government, consolidated with BSF (1-2)</t>
  </si>
  <si>
    <t>4.</t>
  </si>
  <si>
    <t>5.</t>
  </si>
  <si>
    <t>6.</t>
  </si>
  <si>
    <t>7.</t>
  </si>
  <si>
    <t>General government debt, unconsolidated (3+4+5+6)</t>
  </si>
  <si>
    <t>8.</t>
  </si>
  <si>
    <r>
      <t>Minus</t>
    </r>
    <r>
      <rPr>
        <sz val="11"/>
        <color indexed="10"/>
        <rFont val="Arial Narrow"/>
        <family val="2"/>
      </rPr>
      <t>: Intrasector-debt holdings (domestic)</t>
    </r>
  </si>
  <si>
    <t>National government debt held by SSIs</t>
  </si>
  <si>
    <t>National government debt held by LGUs</t>
  </si>
  <si>
    <t>LGUs loan held by MDFO</t>
  </si>
  <si>
    <t>9.</t>
  </si>
  <si>
    <t>Total consolidated general government debt (7-8)</t>
  </si>
  <si>
    <t>10.</t>
  </si>
  <si>
    <t>11.</t>
  </si>
  <si>
    <t>Nonfinancial public sector debt, unconsolidated (9+10)</t>
  </si>
  <si>
    <t>12.</t>
  </si>
  <si>
    <r>
      <t>Minus</t>
    </r>
    <r>
      <rPr>
        <sz val="11"/>
        <color indexed="10"/>
        <rFont val="Arial Narrow"/>
        <family val="2"/>
      </rPr>
      <t>: Intrasector-debt holdings</t>
    </r>
  </si>
  <si>
    <t>National government debt held by GOCC's</t>
  </si>
  <si>
    <t xml:space="preserve">Onlending from national government to GOCC's </t>
  </si>
  <si>
    <t>GOCC's debt held by national government</t>
  </si>
  <si>
    <t>13.</t>
  </si>
  <si>
    <t>Total consolidated nonfinancial public sector debt (11-12)</t>
  </si>
  <si>
    <t>MEMORANDUM ITEMS:</t>
  </si>
  <si>
    <t>•</t>
  </si>
  <si>
    <t>Total intra-nonfinancial public sector debt holdings (incl. BSF)</t>
  </si>
  <si>
    <t>GDP</t>
  </si>
  <si>
    <t>Compiled by FPPO, Department of Finance.</t>
  </si>
  <si>
    <t>1/</t>
  </si>
  <si>
    <t>The consolidated nonfinancial public sector comprises the general government sector and nonfinancial public corporations. The</t>
  </si>
  <si>
    <t>consolidated nonfinancial public sector does not include financial public corporations.</t>
  </si>
  <si>
    <t>2/</t>
  </si>
  <si>
    <t>Including Securities Stabilization Fund. Also includes adjustment in the NG held in BSF foreign components previously unreported.</t>
  </si>
  <si>
    <t>3/</t>
  </si>
  <si>
    <t>CB-BOL  already paid in full its foreign obligation last January 2012</t>
  </si>
  <si>
    <t>4/</t>
  </si>
  <si>
    <t>Excluding "reserve liabilities" (insurance technical reserves). Debt data of the Employees Compensation Commission are not included.</t>
  </si>
  <si>
    <t>GSIS refers to Government Insurance Corporation; SSS- Social Security Institutions, PHIC-Philippines Health Insurance Corporation</t>
  </si>
  <si>
    <t>5/  LGUs debt in which the liabilities financed thru MDFO has been netted out starting 2007.</t>
  </si>
  <si>
    <t>6/</t>
  </si>
  <si>
    <t>GOCCs refers to Government Owned and Controlled Corporations composed of: 1. National Power Corporations, 2. Philippine National Oil Company,</t>
  </si>
  <si>
    <t>3. Metropolitan Waterworks &amp; Sewerage System, 4. National Irrigation Administration,5. National Development Company,6. Light Trail Transit</t>
  </si>
  <si>
    <t>Authority,7. Local Water Utilities Administration,8. National Electrification Administration, 9. National Housing Authority, 10. Philippine National</t>
  </si>
  <si>
    <t>Railways, 11.Philippine Ports Authority, 12. National Food Authority, 13. Philippine Economic Zone Authority,14. Home Guaranty Corporation</t>
  </si>
  <si>
    <r>
      <t xml:space="preserve">Table 2 Outstanding Debt - Consolidated Public Sector  </t>
    </r>
    <r>
      <rPr>
        <b/>
        <u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</si>
  <si>
    <t>Consolidated nonfinancial public sector debt</t>
  </si>
  <si>
    <t>Financial public corporations (BSP, 3 GFIs) (i+ii)</t>
  </si>
  <si>
    <t>i.</t>
  </si>
  <si>
    <r>
      <t xml:space="preserve">BSP  </t>
    </r>
    <r>
      <rPr>
        <u/>
        <sz val="11"/>
        <color indexed="12"/>
        <rFont val="Arial Narrow"/>
        <family val="2"/>
      </rPr>
      <t>2</t>
    </r>
    <r>
      <rPr>
        <sz val="11"/>
        <color indexed="12"/>
        <rFont val="Arial Narrow"/>
        <family val="2"/>
      </rPr>
      <t>/</t>
    </r>
  </si>
  <si>
    <t>ii.</t>
  </si>
  <si>
    <t>GFIs (DBP, LBP, TIDCORP)</t>
  </si>
  <si>
    <t>Public sector debt, unconsolidated (1+2)</t>
  </si>
  <si>
    <t>4</t>
  </si>
  <si>
    <t>National government securities held by GFIs and BSP</t>
  </si>
  <si>
    <t>National government deposits at BSP</t>
  </si>
  <si>
    <t>National government/ GOCCs deposits at GFIs</t>
  </si>
  <si>
    <t>SSI's deposits held by BSP</t>
  </si>
  <si>
    <t>GFI's deposits at BSP</t>
  </si>
  <si>
    <t>GOCC deposits at BSP</t>
  </si>
  <si>
    <t>GOCC loans/other debt held by BSP</t>
  </si>
  <si>
    <t>GOCC loans/other debt held by GFIs</t>
  </si>
  <si>
    <t>GFIs loans/other debt held by BSP</t>
  </si>
  <si>
    <t>Local governments debt held by GFIs</t>
  </si>
  <si>
    <t>National government securities held by BSP</t>
  </si>
  <si>
    <t>Consolidated public sector debt (3-4)</t>
  </si>
  <si>
    <t>Total contingent obligations (guaranteed debt)</t>
  </si>
  <si>
    <t>NG direct guaranteed on GOCC loans</t>
  </si>
  <si>
    <t>GFI guarantees assumed by NG per Proc 50</t>
  </si>
  <si>
    <t>Total intra-public sector debt holdings</t>
  </si>
  <si>
    <t>The consolidated public sector comprises the general government sector, nonfinancial public corporations, and financial public</t>
  </si>
  <si>
    <t>corporations, after elimination of intra-debt holdings among these sectors.</t>
  </si>
  <si>
    <t xml:space="preserve">Comprise all liabilities of the BSP (including currency issues) except for the following liabilties: Allocation of SDRs and </t>
  </si>
  <si>
    <t>Revaluation of International Reserves.</t>
  </si>
  <si>
    <t>Central bank/CB-BOL 3/</t>
  </si>
  <si>
    <t>Social security institutions (GSIS, SSS, PHIC)  4/</t>
  </si>
  <si>
    <t xml:space="preserve">Onlending from GOCC to  GOCC   </t>
  </si>
  <si>
    <t>Local government units (LGU's)  5/</t>
  </si>
  <si>
    <t>Nonfinancial public corporations (14 GOCC's)  6/</t>
  </si>
  <si>
    <t>Central bank/CB-BOL  3/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</si>
</sst>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u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indexed="12"/>
      <name val="Arial Narrow"/>
      <family val="2"/>
    </font>
    <font>
      <sz val="11"/>
      <color rgb="FF0070C0"/>
      <name val="Arial Narrow"/>
      <family val="2"/>
    </font>
    <font>
      <sz val="12"/>
      <color rgb="FF0070C0"/>
      <name val="Arial Narrow"/>
      <family val="2"/>
    </font>
    <font>
      <sz val="11"/>
      <color rgb="FF002060"/>
      <name val="Arial Narrow"/>
      <family val="2"/>
    </font>
    <font>
      <sz val="12"/>
      <name val="Arial Narrow"/>
      <family val="2"/>
    </font>
    <font>
      <sz val="11"/>
      <color indexed="10"/>
      <name val="Arial Narrow"/>
      <family val="2"/>
    </font>
    <font>
      <u/>
      <sz val="11"/>
      <color indexed="10"/>
      <name val="Arial Narrow"/>
      <family val="2"/>
    </font>
    <font>
      <sz val="11"/>
      <color rgb="FFFF0000"/>
      <name val="Arial Narrow"/>
      <family val="2"/>
    </font>
    <font>
      <u/>
      <sz val="11"/>
      <color rgb="FFFF0000"/>
      <name val="Arial Narrow"/>
      <family val="2"/>
    </font>
    <font>
      <u/>
      <sz val="12"/>
      <color rgb="FFFF0000"/>
      <name val="Arial Narrow"/>
      <family val="2"/>
    </font>
    <font>
      <u/>
      <sz val="11"/>
      <color indexed="12"/>
      <name val="Arial Narrow"/>
      <family val="2"/>
    </font>
    <font>
      <sz val="11"/>
      <color indexed="53"/>
      <name val="Arial Narrow"/>
      <family val="2"/>
    </font>
    <font>
      <b/>
      <sz val="11"/>
      <color indexed="12"/>
      <name val="Arial Narrow"/>
      <family val="2"/>
    </font>
    <font>
      <b/>
      <sz val="11"/>
      <color rgb="FFFF0000"/>
      <name val="Arial Narrow"/>
      <family val="2"/>
    </font>
    <font>
      <b/>
      <sz val="11"/>
      <color indexed="9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/>
    <xf numFmtId="0" fontId="4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6" fillId="0" borderId="0" xfId="0" quotePrefix="1" applyFont="1"/>
    <xf numFmtId="0" fontId="6" fillId="0" borderId="0" xfId="0" applyFont="1"/>
    <xf numFmtId="164" fontId="6" fillId="0" borderId="0" xfId="1" applyNumberFormat="1" applyFont="1"/>
    <xf numFmtId="164" fontId="7" fillId="0" borderId="0" xfId="1" applyNumberFormat="1" applyFont="1"/>
    <xf numFmtId="164" fontId="6" fillId="0" borderId="0" xfId="1" applyNumberFormat="1" applyFont="1" applyFill="1"/>
    <xf numFmtId="164" fontId="7" fillId="0" borderId="0" xfId="1" applyNumberFormat="1" applyFont="1" applyFill="1"/>
    <xf numFmtId="164" fontId="8" fillId="0" borderId="0" xfId="1" applyNumberFormat="1" applyFont="1"/>
    <xf numFmtId="164" fontId="4" fillId="0" borderId="0" xfId="1" applyNumberFormat="1" applyFont="1" applyBorder="1"/>
    <xf numFmtId="164" fontId="4" fillId="0" borderId="0" xfId="0" applyNumberFormat="1" applyFont="1" applyFill="1"/>
    <xf numFmtId="164" fontId="9" fillId="0" borderId="0" xfId="0" applyNumberFormat="1" applyFont="1"/>
    <xf numFmtId="164" fontId="10" fillId="0" borderId="0" xfId="0" applyNumberFormat="1" applyFont="1"/>
    <xf numFmtId="164" fontId="4" fillId="0" borderId="0" xfId="1" applyNumberFormat="1" applyFont="1"/>
    <xf numFmtId="0" fontId="11" fillId="0" borderId="0" xfId="0" quotePrefix="1" applyFont="1"/>
    <xf numFmtId="0" fontId="11" fillId="0" borderId="0" xfId="0" applyFont="1"/>
    <xf numFmtId="164" fontId="11" fillId="0" borderId="0" xfId="1" applyNumberFormat="1" applyFont="1"/>
    <xf numFmtId="164" fontId="13" fillId="0" borderId="0" xfId="1" applyNumberFormat="1" applyFont="1"/>
    <xf numFmtId="164" fontId="11" fillId="0" borderId="0" xfId="1" applyNumberFormat="1" applyFont="1" applyFill="1"/>
    <xf numFmtId="164" fontId="13" fillId="0" borderId="0" xfId="1" applyNumberFormat="1" applyFont="1" applyFill="1"/>
    <xf numFmtId="164" fontId="14" fillId="0" borderId="0" xfId="1" applyNumberFormat="1" applyFont="1"/>
    <xf numFmtId="164" fontId="15" fillId="0" borderId="0" xfId="1" applyNumberFormat="1" applyFont="1"/>
    <xf numFmtId="0" fontId="4" fillId="0" borderId="0" xfId="0" quotePrefix="1" applyFont="1"/>
    <xf numFmtId="164" fontId="4" fillId="0" borderId="0" xfId="0" applyNumberFormat="1" applyFont="1" applyAlignment="1">
      <alignment horizontal="right"/>
    </xf>
    <xf numFmtId="164" fontId="9" fillId="0" borderId="0" xfId="0" applyNumberFormat="1" applyFont="1" applyFill="1"/>
    <xf numFmtId="164" fontId="10" fillId="2" borderId="0" xfId="0" applyNumberFormat="1" applyFont="1" applyFill="1"/>
    <xf numFmtId="164" fontId="4" fillId="0" borderId="0" xfId="1" applyNumberFormat="1" applyFont="1" applyFill="1"/>
    <xf numFmtId="164" fontId="9" fillId="0" borderId="0" xfId="1" applyNumberFormat="1" applyFont="1"/>
    <xf numFmtId="164" fontId="10" fillId="0" borderId="0" xfId="1" applyNumberFormat="1" applyFont="1"/>
    <xf numFmtId="164" fontId="13" fillId="0" borderId="0" xfId="0" applyNumberFormat="1" applyFont="1"/>
    <xf numFmtId="0" fontId="6" fillId="0" borderId="0" xfId="0" quotePrefix="1" applyFont="1" applyFill="1"/>
    <xf numFmtId="0" fontId="6" fillId="0" borderId="0" xfId="0" applyFont="1" applyFill="1"/>
    <xf numFmtId="0" fontId="4" fillId="0" borderId="0" xfId="0" applyFont="1" applyFill="1"/>
    <xf numFmtId="165" fontId="4" fillId="0" borderId="0" xfId="0" applyNumberFormat="1" applyFont="1"/>
    <xf numFmtId="165" fontId="4" fillId="0" borderId="0" xfId="0" applyNumberFormat="1" applyFont="1" applyFill="1"/>
    <xf numFmtId="165" fontId="9" fillId="0" borderId="0" xfId="0" applyNumberFormat="1" applyFont="1"/>
    <xf numFmtId="164" fontId="11" fillId="0" borderId="0" xfId="0" applyNumberFormat="1" applyFont="1"/>
    <xf numFmtId="0" fontId="12" fillId="0" borderId="0" xfId="0" applyFont="1"/>
    <xf numFmtId="164" fontId="17" fillId="0" borderId="0" xfId="1" applyNumberFormat="1" applyFont="1" applyFill="1"/>
    <xf numFmtId="164" fontId="14" fillId="0" borderId="0" xfId="1" applyNumberFormat="1" applyFont="1" applyFill="1"/>
    <xf numFmtId="164" fontId="4" fillId="0" borderId="0" xfId="0" applyNumberFormat="1" applyFont="1" applyBorder="1"/>
    <xf numFmtId="0" fontId="4" fillId="0" borderId="2" xfId="0" applyFont="1" applyBorder="1"/>
    <xf numFmtId="164" fontId="4" fillId="0" borderId="2" xfId="1" applyNumberFormat="1" applyFont="1" applyBorder="1"/>
    <xf numFmtId="164" fontId="4" fillId="0" borderId="2" xfId="0" applyNumberFormat="1" applyFont="1" applyBorder="1"/>
    <xf numFmtId="0" fontId="18" fillId="0" borderId="0" xfId="0" quotePrefix="1" applyFont="1"/>
    <xf numFmtId="0" fontId="18" fillId="0" borderId="0" xfId="0" applyFont="1"/>
    <xf numFmtId="164" fontId="18" fillId="0" borderId="1" xfId="1" applyNumberFormat="1" applyFont="1" applyBorder="1"/>
    <xf numFmtId="164" fontId="2" fillId="0" borderId="0" xfId="1" applyNumberFormat="1" applyFont="1" applyFill="1" applyBorder="1"/>
    <xf numFmtId="164" fontId="2" fillId="0" borderId="2" xfId="1" applyNumberFormat="1" applyFont="1" applyBorder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2" borderId="0" xfId="0" applyNumberFormat="1" applyFont="1" applyFill="1"/>
    <xf numFmtId="164" fontId="10" fillId="0" borderId="0" xfId="0" applyNumberFormat="1" applyFont="1" applyFill="1"/>
    <xf numFmtId="0" fontId="16" fillId="0" borderId="0" xfId="0" applyFont="1"/>
    <xf numFmtId="0" fontId="18" fillId="0" borderId="1" xfId="0" quotePrefix="1" applyFont="1" applyBorder="1"/>
    <xf numFmtId="0" fontId="18" fillId="0" borderId="1" xfId="0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0" fontId="3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164" fontId="19" fillId="0" borderId="0" xfId="0" applyNumberFormat="1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/>
    <xf numFmtId="166" fontId="20" fillId="3" borderId="0" xfId="1" applyNumberFormat="1" applyFont="1" applyFill="1"/>
    <xf numFmtId="164" fontId="20" fillId="3" borderId="0" xfId="0" applyNumberFormat="1" applyFont="1" applyFill="1"/>
    <xf numFmtId="166" fontId="21" fillId="3" borderId="3" xfId="1" applyNumberFormat="1" applyFont="1" applyFill="1" applyBorder="1"/>
    <xf numFmtId="166" fontId="21" fillId="3" borderId="0" xfId="1" applyNumberFormat="1" applyFont="1" applyFill="1"/>
    <xf numFmtId="164" fontId="20" fillId="3" borderId="0" xfId="1" applyNumberFormat="1" applyFont="1" applyFill="1"/>
    <xf numFmtId="164" fontId="21" fillId="3" borderId="0" xfId="1" applyNumberFormat="1" applyFont="1" applyFill="1"/>
    <xf numFmtId="166" fontId="22" fillId="3" borderId="0" xfId="1" applyNumberFormat="1" applyFont="1" applyFill="1"/>
    <xf numFmtId="22" fontId="4" fillId="0" borderId="0" xfId="0" applyNumberFormat="1" applyFont="1"/>
    <xf numFmtId="22" fontId="4" fillId="0" borderId="0" xfId="0" applyNumberFormat="1" applyFont="1" applyAlignment="1">
      <alignment horizontal="right"/>
    </xf>
    <xf numFmtId="3" fontId="5" fillId="0" borderId="0" xfId="0" applyNumberFormat="1" applyFont="1"/>
    <xf numFmtId="15" fontId="4" fillId="0" borderId="0" xfId="0" applyNumberFormat="1" applyFont="1" applyFill="1"/>
    <xf numFmtId="164" fontId="2" fillId="0" borderId="0" xfId="1" applyNumberFormat="1" applyFont="1" applyBorder="1"/>
    <xf numFmtId="3" fontId="0" fillId="0" borderId="0" xfId="0" applyNumberFormat="1"/>
    <xf numFmtId="10" fontId="4" fillId="0" borderId="0" xfId="2" applyNumberFormat="1" applyFont="1"/>
    <xf numFmtId="0" fontId="18" fillId="0" borderId="0" xfId="0" quotePrefix="1" applyFont="1" applyFill="1" applyBorder="1"/>
    <xf numFmtId="0" fontId="18" fillId="0" borderId="0" xfId="0" applyFont="1" applyFill="1" applyBorder="1"/>
    <xf numFmtId="164" fontId="18" fillId="0" borderId="0" xfId="1" applyNumberFormat="1" applyFont="1" applyFill="1"/>
    <xf numFmtId="164" fontId="18" fillId="0" borderId="0" xfId="0" applyNumberFormat="1" applyFont="1" applyFill="1"/>
    <xf numFmtId="164" fontId="2" fillId="0" borderId="0" xfId="1" quotePrefix="1" applyNumberFormat="1" applyFont="1" applyBorder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/>
    <xf numFmtId="164" fontId="2" fillId="0" borderId="0" xfId="1" applyNumberFormat="1" applyFont="1"/>
    <xf numFmtId="164" fontId="23" fillId="0" borderId="0" xfId="0" applyNumberFormat="1" applyFont="1"/>
    <xf numFmtId="164" fontId="4" fillId="0" borderId="0" xfId="0" applyNumberFormat="1" applyFont="1" applyAlignment="1"/>
    <xf numFmtId="164" fontId="5" fillId="0" borderId="0" xfId="0" applyNumberFormat="1" applyFont="1"/>
    <xf numFmtId="0" fontId="18" fillId="0" borderId="0" xfId="0" quotePrefix="1" applyFont="1" applyFill="1"/>
    <xf numFmtId="0" fontId="18" fillId="0" borderId="0" xfId="0" applyFont="1" applyFill="1"/>
    <xf numFmtId="165" fontId="6" fillId="0" borderId="0" xfId="0" applyNumberFormat="1" applyFont="1" applyFill="1"/>
    <xf numFmtId="4" fontId="6" fillId="0" borderId="0" xfId="1" applyNumberFormat="1" applyFont="1" applyFill="1"/>
    <xf numFmtId="0" fontId="4" fillId="0" borderId="0" xfId="0" applyFont="1" applyAlignment="1">
      <alignment horizontal="left" indent="1"/>
    </xf>
    <xf numFmtId="0" fontId="13" fillId="0" borderId="0" xfId="0" applyFont="1"/>
    <xf numFmtId="0" fontId="9" fillId="0" borderId="0" xfId="0" applyFont="1"/>
    <xf numFmtId="164" fontId="9" fillId="0" borderId="0" xfId="1" applyNumberFormat="1" applyFont="1" applyFill="1"/>
    <xf numFmtId="164" fontId="17" fillId="0" borderId="0" xfId="0" applyNumberFormat="1" applyFont="1"/>
    <xf numFmtId="164" fontId="14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165" fontId="4" fillId="0" borderId="0" xfId="0" applyNumberFormat="1" applyFont="1" applyFill="1" applyAlignment="1"/>
    <xf numFmtId="165" fontId="9" fillId="0" borderId="0" xfId="0" applyNumberFormat="1" applyFont="1" applyFill="1" applyAlignment="1"/>
    <xf numFmtId="165" fontId="9" fillId="0" borderId="0" xfId="0" applyNumberFormat="1" applyFont="1" applyFill="1"/>
    <xf numFmtId="0" fontId="7" fillId="0" borderId="0" xfId="0" applyFont="1"/>
    <xf numFmtId="165" fontId="7" fillId="0" borderId="0" xfId="1" applyNumberFormat="1" applyFont="1" applyFill="1"/>
    <xf numFmtId="0" fontId="18" fillId="0" borderId="1" xfId="0" quotePrefix="1" applyFont="1" applyFill="1" applyBorder="1"/>
    <xf numFmtId="0" fontId="18" fillId="0" borderId="1" xfId="0" applyFont="1" applyFill="1" applyBorder="1"/>
    <xf numFmtId="164" fontId="18" fillId="0" borderId="1" xfId="1" applyNumberFormat="1" applyFont="1" applyFill="1" applyBorder="1"/>
    <xf numFmtId="167" fontId="4" fillId="0" borderId="0" xfId="2" applyNumberFormat="1" applyFont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164" fontId="7" fillId="0" borderId="0" xfId="0" applyNumberFormat="1" applyFont="1" applyFill="1"/>
    <xf numFmtId="165" fontId="7" fillId="0" borderId="0" xfId="0" applyNumberFormat="1" applyFont="1"/>
    <xf numFmtId="165" fontId="7" fillId="0" borderId="0" xfId="0" applyNumberFormat="1" applyFont="1" applyFill="1"/>
    <xf numFmtId="0" fontId="13" fillId="0" borderId="0" xfId="0" applyFont="1" applyAlignment="1">
      <alignment horizontal="center"/>
    </xf>
    <xf numFmtId="164" fontId="13" fillId="0" borderId="0" xfId="0" applyNumberFormat="1" applyFont="1" applyFill="1"/>
    <xf numFmtId="15" fontId="4" fillId="0" borderId="0" xfId="0" applyNumberFormat="1" applyFont="1"/>
    <xf numFmtId="0" fontId="0" fillId="0" borderId="0" xfId="0" applyAlignment="1">
      <alignment horizontal="center"/>
    </xf>
    <xf numFmtId="167" fontId="6" fillId="0" borderId="0" xfId="2" applyNumberFormat="1" applyFont="1"/>
    <xf numFmtId="167" fontId="11" fillId="0" borderId="0" xfId="2" applyNumberFormat="1" applyFont="1"/>
    <xf numFmtId="167" fontId="4" fillId="0" borderId="0" xfId="2" applyNumberFormat="1" applyFont="1" applyAlignment="1">
      <alignment horizontal="right"/>
    </xf>
    <xf numFmtId="167" fontId="6" fillId="0" borderId="0" xfId="2" applyNumberFormat="1" applyFont="1" applyFill="1"/>
    <xf numFmtId="167" fontId="4" fillId="0" borderId="0" xfId="2" applyNumberFormat="1" applyFont="1" applyFill="1"/>
    <xf numFmtId="167" fontId="4" fillId="0" borderId="2" xfId="2" applyNumberFormat="1" applyFont="1" applyBorder="1"/>
    <xf numFmtId="167" fontId="18" fillId="0" borderId="1" xfId="2" applyNumberFormat="1" applyFont="1" applyBorder="1"/>
    <xf numFmtId="167" fontId="2" fillId="0" borderId="0" xfId="2" applyNumberFormat="1" applyFont="1" applyFill="1" applyBorder="1"/>
    <xf numFmtId="167" fontId="2" fillId="0" borderId="2" xfId="2" applyNumberFormat="1" applyFont="1" applyBorder="1"/>
    <xf numFmtId="167" fontId="4" fillId="0" borderId="0" xfId="2" applyNumberFormat="1" applyFont="1" applyBorder="1"/>
    <xf numFmtId="167" fontId="2" fillId="0" borderId="0" xfId="2" applyNumberFormat="1" applyFont="1" applyBorder="1"/>
    <xf numFmtId="167" fontId="19" fillId="0" borderId="0" xfId="2" applyNumberFormat="1" applyFont="1" applyFill="1"/>
    <xf numFmtId="167" fontId="18" fillId="0" borderId="0" xfId="2" applyNumberFormat="1" applyFont="1" applyFill="1"/>
    <xf numFmtId="167" fontId="2" fillId="0" borderId="0" xfId="2" quotePrefix="1" applyNumberFormat="1" applyFont="1" applyBorder="1" applyAlignment="1">
      <alignment horizontal="right"/>
    </xf>
    <xf numFmtId="167" fontId="7" fillId="0" borderId="0" xfId="2" applyNumberFormat="1" applyFont="1" applyFill="1"/>
    <xf numFmtId="167" fontId="18" fillId="0" borderId="1" xfId="2" applyNumberFormat="1" applyFont="1" applyFill="1" applyBorder="1"/>
    <xf numFmtId="167" fontId="13" fillId="0" borderId="0" xfId="2" applyNumberFormat="1" applyFont="1" applyFill="1"/>
    <xf numFmtId="165" fontId="5" fillId="0" borderId="0" xfId="0" applyNumberFormat="1" applyFont="1"/>
    <xf numFmtId="167" fontId="5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3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tipgos/Desktop/EDNA%20FILES/Desktop/ednaley/OPSD%20Quarterly%202004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lcon/Downloads/opsdqtrh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2"/>
      <sheetName val="14 MNFGCs"/>
      <sheetName val="GDP"/>
      <sheetName val="BSP"/>
      <sheetName val="SSIs"/>
      <sheetName val="GFIs"/>
      <sheetName val="Table 1b"/>
      <sheetName val="Table 2b"/>
      <sheetName val="selected bsp accts."/>
      <sheetName val="Sheet1"/>
      <sheetName val="Table 1a"/>
      <sheetName val="Table 2a"/>
    </sheetNames>
    <sheetDataSet>
      <sheetData sheetId="0" refreshError="1">
        <row r="11">
          <cell r="E11">
            <v>2.5758700000000001</v>
          </cell>
          <cell r="F11">
            <v>2.9743200000000001</v>
          </cell>
          <cell r="G11">
            <v>3.0849600000000001</v>
          </cell>
          <cell r="H11">
            <v>3.1030500000000001</v>
          </cell>
          <cell r="I11">
            <v>3.0410200000000001</v>
          </cell>
          <cell r="J11">
            <v>3.21143</v>
          </cell>
          <cell r="K11">
            <v>4.0510999999999999</v>
          </cell>
          <cell r="L11">
            <v>3.8879800000000002</v>
          </cell>
        </row>
        <row r="12">
          <cell r="E12">
            <v>3171.0248799999999</v>
          </cell>
          <cell r="F12">
            <v>3184.33313</v>
          </cell>
          <cell r="G12">
            <v>3339.6789800000001</v>
          </cell>
          <cell r="H12">
            <v>3397.0837799999999</v>
          </cell>
          <cell r="I12">
            <v>3440.6370800000004</v>
          </cell>
          <cell r="J12">
            <v>3485.9237899999998</v>
          </cell>
          <cell r="K12">
            <v>3584.28586</v>
          </cell>
          <cell r="L12">
            <v>3420.7052800000001</v>
          </cell>
        </row>
        <row r="33">
          <cell r="E33">
            <v>128.61000000000001</v>
          </cell>
          <cell r="F33">
            <v>132.13</v>
          </cell>
          <cell r="G33">
            <v>131.94999999999999</v>
          </cell>
          <cell r="H33">
            <v>131.47</v>
          </cell>
          <cell r="I33">
            <v>136.01</v>
          </cell>
          <cell r="J33">
            <v>133.29</v>
          </cell>
          <cell r="K33">
            <v>145.24</v>
          </cell>
          <cell r="L33">
            <v>153.94</v>
          </cell>
        </row>
        <row r="51">
          <cell r="E51">
            <v>86.96</v>
          </cell>
          <cell r="F51">
            <v>96.48</v>
          </cell>
          <cell r="G51">
            <v>101.78</v>
          </cell>
          <cell r="H51">
            <v>102.94</v>
          </cell>
          <cell r="I51">
            <v>110.16</v>
          </cell>
          <cell r="J51">
            <v>105.69</v>
          </cell>
          <cell r="K51">
            <v>117.16</v>
          </cell>
          <cell r="L51">
            <v>118.36</v>
          </cell>
        </row>
        <row r="55">
          <cell r="E55">
            <v>166.02</v>
          </cell>
          <cell r="F55">
            <v>186.34399999999999</v>
          </cell>
          <cell r="G55">
            <v>243.90360000000001</v>
          </cell>
          <cell r="H55">
            <v>45.72</v>
          </cell>
          <cell r="I55">
            <v>44.51</v>
          </cell>
          <cell r="J55">
            <v>24.46</v>
          </cell>
          <cell r="K55">
            <v>24.52</v>
          </cell>
          <cell r="L55">
            <v>23.22</v>
          </cell>
        </row>
        <row r="63">
          <cell r="M63">
            <v>11.88082</v>
          </cell>
          <cell r="N63">
            <v>12.472069999999999</v>
          </cell>
          <cell r="O63">
            <v>11.81081</v>
          </cell>
          <cell r="Q63">
            <v>8.5153800000000004</v>
          </cell>
          <cell r="R63">
            <v>8.2042000000000002</v>
          </cell>
          <cell r="S63">
            <v>8.0520899999999997</v>
          </cell>
          <cell r="T63">
            <v>7.4524699999999999</v>
          </cell>
          <cell r="U63">
            <v>6.4150799999999997</v>
          </cell>
          <cell r="V63">
            <v>6.8749799999999999</v>
          </cell>
          <cell r="W63">
            <v>7.2674399999999997</v>
          </cell>
          <cell r="X63">
            <v>7.3893300000000002</v>
          </cell>
          <cell r="Y63">
            <v>7.5896500000000007</v>
          </cell>
          <cell r="Z63">
            <v>7.6063600000000005</v>
          </cell>
          <cell r="AA63">
            <v>9.2130100000000006</v>
          </cell>
          <cell r="AB63">
            <v>8.3369699999999991</v>
          </cell>
          <cell r="AC63">
            <v>8.2669800000000002</v>
          </cell>
          <cell r="AD63">
            <v>6.0009600000000001</v>
          </cell>
          <cell r="AE63">
            <v>23.696010000000001</v>
          </cell>
          <cell r="AF63">
            <v>4.26</v>
          </cell>
          <cell r="AG63">
            <v>4.21</v>
          </cell>
          <cell r="AH63">
            <v>4.22</v>
          </cell>
          <cell r="AI63">
            <v>4.2300000000000004</v>
          </cell>
          <cell r="AJ63">
            <v>4.26</v>
          </cell>
        </row>
        <row r="64">
          <cell r="M64">
            <v>5826.0119999999997</v>
          </cell>
          <cell r="N64">
            <v>5973.4229999999998</v>
          </cell>
          <cell r="O64">
            <v>6110.4989999999998</v>
          </cell>
          <cell r="R64">
            <v>6332.598</v>
          </cell>
          <cell r="S64">
            <v>6506.3719999999994</v>
          </cell>
          <cell r="T64">
            <v>6892.7209999999995</v>
          </cell>
          <cell r="U64">
            <v>6792.1359999999995</v>
          </cell>
          <cell r="V64">
            <v>7011.4120000000003</v>
          </cell>
          <cell r="W64">
            <v>7262.5209999999997</v>
          </cell>
          <cell r="X64">
            <v>7720.9030000000002</v>
          </cell>
          <cell r="Y64">
            <v>7486.9360000000006</v>
          </cell>
          <cell r="Z64">
            <v>7523.5129999999999</v>
          </cell>
          <cell r="AA64">
            <v>7539.9330000000009</v>
          </cell>
          <cell r="AB64">
            <v>8026.143</v>
          </cell>
          <cell r="AC64">
            <v>8268.1299999999992</v>
          </cell>
          <cell r="AD64">
            <v>8545</v>
          </cell>
          <cell r="AE64">
            <v>8769.7000000000007</v>
          </cell>
          <cell r="AF64">
            <v>9003.48</v>
          </cell>
          <cell r="AG64">
            <v>9193.2309999999998</v>
          </cell>
          <cell r="AH64">
            <v>9372.5040000000008</v>
          </cell>
          <cell r="AI64">
            <v>9523.0339999999997</v>
          </cell>
        </row>
      </sheetData>
      <sheetData sheetId="1" refreshError="1">
        <row r="27">
          <cell r="E27">
            <v>708.38624480199996</v>
          </cell>
          <cell r="F27">
            <v>691.94599928460002</v>
          </cell>
          <cell r="G27">
            <v>749.0683492846</v>
          </cell>
          <cell r="H27">
            <v>670.38274100000012</v>
          </cell>
          <cell r="I27">
            <v>590.92105100000003</v>
          </cell>
          <cell r="J27">
            <v>749.7776550000001</v>
          </cell>
          <cell r="K27">
            <v>773.97774800000025</v>
          </cell>
          <cell r="L27">
            <v>691.63844784799994</v>
          </cell>
          <cell r="M27">
            <v>703.79935214952991</v>
          </cell>
          <cell r="N27">
            <v>688.47529577594992</v>
          </cell>
          <cell r="O27">
            <v>737.97913477175996</v>
          </cell>
          <cell r="Q27">
            <v>905.9351335501301</v>
          </cell>
          <cell r="R27">
            <v>873.81717689228003</v>
          </cell>
          <cell r="S27">
            <v>895.40213145977998</v>
          </cell>
          <cell r="T27">
            <v>1103.1417114897799</v>
          </cell>
          <cell r="U27">
            <v>1126.8586233841202</v>
          </cell>
          <cell r="V27">
            <v>1162.6065603583002</v>
          </cell>
          <cell r="W27">
            <v>1251.9811288125802</v>
          </cell>
          <cell r="X27">
            <v>1186.48749799031</v>
          </cell>
          <cell r="Y27">
            <v>1021.7654781342202</v>
          </cell>
          <cell r="Z27">
            <v>1011.0452209971899</v>
          </cell>
          <cell r="AA27">
            <v>1161.5685186695302</v>
          </cell>
          <cell r="AB27">
            <v>1140.9803580800799</v>
          </cell>
          <cell r="AC27">
            <v>1156.37122769954</v>
          </cell>
          <cell r="AD27">
            <v>1177.0195336321999</v>
          </cell>
          <cell r="AE27">
            <v>1216.9349545364901</v>
          </cell>
          <cell r="AF27">
            <v>1207.77845354532</v>
          </cell>
          <cell r="AG27">
            <v>1395.2896845805599</v>
          </cell>
          <cell r="AH27">
            <v>1474.08204530483</v>
          </cell>
          <cell r="AI27">
            <v>1418.8318886694997</v>
          </cell>
          <cell r="AJ27">
            <v>1295.5357846388899</v>
          </cell>
        </row>
        <row r="38">
          <cell r="E38">
            <v>0.49890000000000001</v>
          </cell>
          <cell r="F38">
            <v>0.49890000000000001</v>
          </cell>
          <cell r="G38">
            <v>0.49890000000000001</v>
          </cell>
          <cell r="H38">
            <v>0.68169999999999997</v>
          </cell>
          <cell r="I38">
            <v>0.66239999999999999</v>
          </cell>
          <cell r="J38">
            <v>0.67969999999999997</v>
          </cell>
          <cell r="K38">
            <v>0.67730000000000001</v>
          </cell>
          <cell r="L38">
            <v>1.0639000000000001</v>
          </cell>
          <cell r="M38">
            <v>1.0296000000000001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T38">
            <v>0</v>
          </cell>
          <cell r="U38">
            <v>6.6894999999999998</v>
          </cell>
          <cell r="V38">
            <v>19.654599999999999</v>
          </cell>
          <cell r="W38">
            <v>23.651</v>
          </cell>
          <cell r="X38">
            <v>22.7178</v>
          </cell>
          <cell r="Y38">
            <v>23.961200000000002</v>
          </cell>
          <cell r="Z38">
            <v>26.4968</v>
          </cell>
          <cell r="AA38">
            <v>28.231300000000001</v>
          </cell>
          <cell r="AB38">
            <v>31.865500000000001</v>
          </cell>
          <cell r="AC38">
            <v>35.385199999999998</v>
          </cell>
          <cell r="AD38">
            <v>23.605799999999999</v>
          </cell>
          <cell r="AE38">
            <v>9.3202999999999996</v>
          </cell>
          <cell r="AF38">
            <v>25.2347</v>
          </cell>
          <cell r="AG38">
            <v>33.9223</v>
          </cell>
          <cell r="AH38">
            <v>40.767200000000003</v>
          </cell>
          <cell r="AI38">
            <v>43.026299999999999</v>
          </cell>
        </row>
      </sheetData>
      <sheetData sheetId="2" refreshError="1">
        <row r="24">
          <cell r="AF24">
            <v>287948.62999999995</v>
          </cell>
          <cell r="AG24">
            <v>1204847.2</v>
          </cell>
          <cell r="AI24">
            <v>307506.64999999997</v>
          </cell>
          <cell r="AJ24">
            <v>1209120.4700000002</v>
          </cell>
          <cell r="AL24">
            <v>293492.57</v>
          </cell>
          <cell r="AM24">
            <v>1236943.6400000001</v>
          </cell>
          <cell r="AS24">
            <v>460085.8000000001</v>
          </cell>
          <cell r="AT24">
            <v>1113417.6999999997</v>
          </cell>
        </row>
      </sheetData>
      <sheetData sheetId="3" refreshError="1"/>
      <sheetData sheetId="4" refreshError="1"/>
      <sheetData sheetId="5" refreshError="1">
        <row r="11">
          <cell r="C11">
            <v>32.58291979234</v>
          </cell>
          <cell r="D11">
            <v>35.689560780880001</v>
          </cell>
          <cell r="E11">
            <v>43.839409733869999</v>
          </cell>
          <cell r="G11">
            <v>7.5110000000000001</v>
          </cell>
          <cell r="H11">
            <v>11.41611193999</v>
          </cell>
          <cell r="I11">
            <v>13.62084929884</v>
          </cell>
          <cell r="J11">
            <v>0</v>
          </cell>
        </row>
      </sheetData>
      <sheetData sheetId="6" refreshError="1">
        <row r="10">
          <cell r="C10">
            <v>237.82</v>
          </cell>
          <cell r="D10">
            <v>236.49799999999999</v>
          </cell>
          <cell r="E10">
            <v>235.91900000000001</v>
          </cell>
          <cell r="G10">
            <v>246.35068999999999</v>
          </cell>
          <cell r="H10">
            <v>238.28</v>
          </cell>
          <cell r="I10">
            <v>261.31300000000005</v>
          </cell>
        </row>
        <row r="17">
          <cell r="C17">
            <v>161.95400000000001</v>
          </cell>
          <cell r="D17">
            <v>165.01900000000001</v>
          </cell>
          <cell r="E17">
            <v>154.33199999999999</v>
          </cell>
          <cell r="G17">
            <v>157.79435000000001</v>
          </cell>
          <cell r="H17">
            <v>172.73000000000002</v>
          </cell>
          <cell r="I17">
            <v>182.10300000000001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2"/>
      <sheetName val="tab1%GDP"/>
      <sheetName val="tab2%GDP"/>
    </sheetNames>
    <sheetDataSet>
      <sheetData sheetId="0">
        <row r="57">
          <cell r="E57">
            <v>1425.2169197923399</v>
          </cell>
          <cell r="F57">
            <v>1429.2492907808796</v>
          </cell>
          <cell r="G57">
            <v>1520.7584397338701</v>
          </cell>
          <cell r="H57">
            <v>1573.6981600000004</v>
          </cell>
          <cell r="I57">
            <v>1602.8807939999999</v>
          </cell>
          <cell r="J57">
            <v>1636.5814219399902</v>
          </cell>
          <cell r="K57">
            <v>1685.0934602988402</v>
          </cell>
          <cell r="L57">
            <v>1826.14328049969</v>
          </cell>
          <cell r="M57">
            <v>1664.1973161604099</v>
          </cell>
          <cell r="N57">
            <v>1656.3956949482304</v>
          </cell>
          <cell r="O57">
            <v>1659.3483374510399</v>
          </cell>
          <cell r="P57">
            <v>1725.7482679647899</v>
          </cell>
          <cell r="Q57">
            <v>1668.2800238845298</v>
          </cell>
          <cell r="R57">
            <v>1587.47798605818</v>
          </cell>
          <cell r="S57">
            <v>1647.7031303854801</v>
          </cell>
          <cell r="T57">
            <v>1706.3362055784</v>
          </cell>
          <cell r="U57">
            <v>1677.7416471756299</v>
          </cell>
          <cell r="V57">
            <v>1790.4906257927598</v>
          </cell>
          <cell r="W57">
            <v>2056.1233042470403</v>
          </cell>
          <cell r="X57">
            <v>1863.3129565427901</v>
          </cell>
          <cell r="Y57">
            <v>1803.4477224971099</v>
          </cell>
          <cell r="Z57">
            <v>1816.0749155919298</v>
          </cell>
          <cell r="AA57">
            <v>1854.7757776947099</v>
          </cell>
          <cell r="AB57">
            <v>1918.9131097279501</v>
          </cell>
          <cell r="AC57">
            <v>1893.1495437080198</v>
          </cell>
          <cell r="AD57">
            <v>1970.1142293739097</v>
          </cell>
          <cell r="AE57">
            <v>2101.2777861385403</v>
          </cell>
          <cell r="AF57">
            <v>2210.2644233212104</v>
          </cell>
          <cell r="AG57">
            <v>2324.7781026520802</v>
          </cell>
          <cell r="AH57">
            <v>2397.96026514906</v>
          </cell>
          <cell r="AI57">
            <v>2745.4191443777295</v>
          </cell>
          <cell r="AJ57">
            <v>2743.3614324373798</v>
          </cell>
          <cell r="AK57">
            <v>3167.3027427900302</v>
          </cell>
          <cell r="AL57">
            <v>3165.9943382682754</v>
          </cell>
          <cell r="AM57">
            <v>3179.1284735212298</v>
          </cell>
          <cell r="AN57">
            <v>3483.5066459245404</v>
          </cell>
          <cell r="AO57">
            <v>3434.3129912868103</v>
          </cell>
          <cell r="AP57">
            <v>3611.4134832170503</v>
          </cell>
          <cell r="AQ57">
            <v>3801.0997023147497</v>
          </cell>
          <cell r="AR57">
            <v>3833.2500450163702</v>
          </cell>
          <cell r="AS57">
            <v>3779.8684009425697</v>
          </cell>
          <cell r="AT57">
            <v>3955.9629094016</v>
          </cell>
          <cell r="AU57">
            <v>3993.5215603807596</v>
          </cell>
          <cell r="AV57">
            <v>4019.2787580683403</v>
          </cell>
        </row>
        <row r="58">
          <cell r="E58">
            <v>3063.7052600000002</v>
          </cell>
          <cell r="F58">
            <v>3061.1881039999998</v>
          </cell>
          <cell r="G58">
            <v>3070.40479</v>
          </cell>
          <cell r="H58">
            <v>3055.0799320000001</v>
          </cell>
          <cell r="I58">
            <v>3010.7867649999998</v>
          </cell>
          <cell r="J58">
            <v>3080.9757950000003</v>
          </cell>
          <cell r="K58">
            <v>3125.5981530000004</v>
          </cell>
          <cell r="L58">
            <v>2849.2977051999601</v>
          </cell>
          <cell r="M58">
            <v>2913.5489675256604</v>
          </cell>
          <cell r="N58">
            <v>2968.1007121554599</v>
          </cell>
          <cell r="O58">
            <v>2820.58586492721</v>
          </cell>
          <cell r="P58">
            <v>2729.23994251881</v>
          </cell>
          <cell r="Q58">
            <v>2756.9118726069705</v>
          </cell>
          <cell r="R58">
            <v>2605.6537536211003</v>
          </cell>
          <cell r="S58">
            <v>2540.3291876517901</v>
          </cell>
          <cell r="T58">
            <v>2319.95919736526</v>
          </cell>
          <cell r="U58">
            <v>2410.2820400072801</v>
          </cell>
          <cell r="V58">
            <v>2448.5631014483702</v>
          </cell>
          <cell r="W58">
            <v>2361.6046691545898</v>
          </cell>
          <cell r="X58">
            <v>2628.4954363288898</v>
          </cell>
          <cell r="Y58">
            <v>2659.3356719278299</v>
          </cell>
          <cell r="Z58">
            <v>2692.04340553157</v>
          </cell>
          <cell r="AA58">
            <v>2705.7927261704899</v>
          </cell>
          <cell r="AB58">
            <v>2739.2512886937402</v>
          </cell>
          <cell r="AC58">
            <v>2703.4087573158699</v>
          </cell>
          <cell r="AD58">
            <v>2757.5875137207404</v>
          </cell>
          <cell r="AE58">
            <v>2673.2623819966898</v>
          </cell>
          <cell r="AF58">
            <v>2609.1467511583896</v>
          </cell>
          <cell r="AG58">
            <v>2686.79969485523</v>
          </cell>
          <cell r="AH58">
            <v>2696.33872301169</v>
          </cell>
          <cell r="AI58">
            <v>2715.3061675178201</v>
          </cell>
          <cell r="AJ58">
            <v>2623.8132118189301</v>
          </cell>
          <cell r="AK58">
            <v>2339.6495699999996</v>
          </cell>
          <cell r="AL58">
            <v>2277.6532999999999</v>
          </cell>
          <cell r="AM58">
            <v>2254.13544</v>
          </cell>
          <cell r="AN58">
            <v>2109.8303300000002</v>
          </cell>
          <cell r="AO58">
            <v>2010.1397199999999</v>
          </cell>
          <cell r="AP58">
            <v>2088.4910100000002</v>
          </cell>
          <cell r="AQ58">
            <v>2066.8653700000004</v>
          </cell>
          <cell r="AR58">
            <v>2080.99982</v>
          </cell>
          <cell r="AS58">
            <v>2099.1005399999999</v>
          </cell>
          <cell r="AT58">
            <v>2044.8266399999998</v>
          </cell>
          <cell r="AU58">
            <v>2087.6819799999998</v>
          </cell>
          <cell r="AV58">
            <v>2028.3833</v>
          </cell>
        </row>
        <row r="61">
          <cell r="AK61">
            <v>1160.79845656932</v>
          </cell>
          <cell r="AL61">
            <v>1215.9862272863199</v>
          </cell>
          <cell r="AM61">
            <v>1331.1508000993199</v>
          </cell>
          <cell r="AN61">
            <v>1345.8070900993202</v>
          </cell>
          <cell r="AO61">
            <v>1314.6880819302401</v>
          </cell>
          <cell r="AP61">
            <v>1286.6879484457299</v>
          </cell>
          <cell r="AQ61">
            <v>1301.20845844573</v>
          </cell>
          <cell r="AR61">
            <v>1354.5223899999999</v>
          </cell>
          <cell r="AS61">
            <v>1340.2441100000001</v>
          </cell>
          <cell r="AT61">
            <v>1205.6305499999999</v>
          </cell>
          <cell r="AU61">
            <v>1188.63042147224</v>
          </cell>
          <cell r="AV61">
            <v>1180.7085</v>
          </cell>
        </row>
        <row r="62">
          <cell r="AJ62">
            <v>63.059999999999995</v>
          </cell>
          <cell r="AK62">
            <v>4.17</v>
          </cell>
          <cell r="AL62">
            <v>4.0999999999999996</v>
          </cell>
          <cell r="AM62">
            <v>4.0599999999999996</v>
          </cell>
          <cell r="AN62">
            <v>79.98</v>
          </cell>
          <cell r="AO62">
            <v>76.275300000000001</v>
          </cell>
          <cell r="AP62">
            <v>80.861530000000002</v>
          </cell>
          <cell r="AQ62">
            <v>81.290000000000006</v>
          </cell>
          <cell r="AR62">
            <v>83.55</v>
          </cell>
          <cell r="AS62">
            <v>82.643190000000004</v>
          </cell>
          <cell r="AT62">
            <v>82.245199999999997</v>
          </cell>
          <cell r="AU62">
            <v>83.696429999999992</v>
          </cell>
          <cell r="AV62">
            <v>82.483730000000008</v>
          </cell>
        </row>
      </sheetData>
      <sheetData sheetId="1">
        <row r="26">
          <cell r="AK26">
            <v>1460.77017635884</v>
          </cell>
          <cell r="AL26">
            <v>1427.6510657915696</v>
          </cell>
          <cell r="AM26">
            <v>1453.0307499848</v>
          </cell>
          <cell r="AN26">
            <v>1706.7875155542702</v>
          </cell>
          <cell r="AO26">
            <v>1583.37421365706</v>
          </cell>
          <cell r="AP26">
            <v>1691.6805357915703</v>
          </cell>
          <cell r="AQ26">
            <v>2006.9023829415698</v>
          </cell>
          <cell r="AR26">
            <v>2024.3346975431703</v>
          </cell>
          <cell r="AS26">
            <v>1929.89560299343</v>
          </cell>
          <cell r="AT26">
            <v>2121.8538650397004</v>
          </cell>
          <cell r="AU26">
            <v>2178.2557882299693</v>
          </cell>
          <cell r="AV26">
            <v>2233.72985822997</v>
          </cell>
        </row>
        <row r="37">
          <cell r="AJ37">
            <v>45.964100000000002</v>
          </cell>
          <cell r="AK37">
            <v>46.422400000000003</v>
          </cell>
          <cell r="AL37">
            <v>48.813899999999997</v>
          </cell>
          <cell r="AM37">
            <v>50.441200000000002</v>
          </cell>
          <cell r="AN37">
            <v>51.421599999999998</v>
          </cell>
          <cell r="AO37">
            <v>56.218499999999999</v>
          </cell>
          <cell r="AP37">
            <v>60.747199999999999</v>
          </cell>
          <cell r="AQ37">
            <v>62.851900000000001</v>
          </cell>
          <cell r="AR37">
            <v>65.935400000000001</v>
          </cell>
          <cell r="AS37">
            <v>68.340599999999995</v>
          </cell>
          <cell r="AT37">
            <v>67.729500000000002</v>
          </cell>
          <cell r="AU37">
            <v>71.241200000000006</v>
          </cell>
          <cell r="AV37">
            <v>73.834100000000007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5"/>
  <sheetViews>
    <sheetView topLeftCell="AR28" workbookViewId="0">
      <selection activeCell="AY37" sqref="AY37"/>
    </sheetView>
  </sheetViews>
  <sheetFormatPr defaultRowHeight="15"/>
  <cols>
    <col min="1" max="3" width="2.42578125" customWidth="1"/>
    <col min="4" max="4" width="50.7109375" customWidth="1"/>
    <col min="5" max="29" width="0" hidden="1" customWidth="1"/>
    <col min="49" max="49" width="9.5703125" bestFit="1" customWidth="1"/>
    <col min="52" max="56" width="0" hidden="1" customWidth="1"/>
  </cols>
  <sheetData>
    <row r="1" spans="1:56" ht="14.1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56" ht="14.1" customHeight="1">
      <c r="A2" s="5" t="s">
        <v>1</v>
      </c>
      <c r="B2" s="6"/>
      <c r="C2" s="6"/>
      <c r="D2" s="6"/>
      <c r="E2" s="2"/>
      <c r="F2" s="2"/>
      <c r="G2" s="2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4"/>
      <c r="AE2" s="4"/>
      <c r="AF2" s="2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56" ht="16.5">
      <c r="A3" s="7"/>
      <c r="B3" s="8"/>
      <c r="C3" s="8"/>
      <c r="D3" s="8"/>
      <c r="E3" s="147">
        <v>2004</v>
      </c>
      <c r="F3" s="148"/>
      <c r="G3" s="148"/>
      <c r="H3" s="148"/>
      <c r="I3" s="147">
        <v>2005</v>
      </c>
      <c r="J3" s="147"/>
      <c r="K3" s="147"/>
      <c r="L3" s="147"/>
      <c r="M3" s="147">
        <v>2006</v>
      </c>
      <c r="N3" s="147"/>
      <c r="O3" s="147"/>
      <c r="P3" s="147"/>
      <c r="Q3" s="147">
        <v>2007</v>
      </c>
      <c r="R3" s="147"/>
      <c r="S3" s="147"/>
      <c r="T3" s="147"/>
      <c r="U3" s="147">
        <v>2008</v>
      </c>
      <c r="V3" s="147"/>
      <c r="W3" s="147"/>
      <c r="X3" s="147"/>
      <c r="Y3" s="147">
        <v>2009</v>
      </c>
      <c r="Z3" s="147"/>
      <c r="AA3" s="147"/>
      <c r="AB3" s="147"/>
      <c r="AC3" s="147">
        <v>2010</v>
      </c>
      <c r="AD3" s="147"/>
      <c r="AE3" s="147"/>
      <c r="AF3" s="147"/>
      <c r="AG3" s="147">
        <v>2011</v>
      </c>
      <c r="AH3" s="147"/>
      <c r="AI3" s="147"/>
      <c r="AJ3" s="147"/>
      <c r="AK3" s="147">
        <v>2012</v>
      </c>
      <c r="AL3" s="147"/>
      <c r="AM3" s="147"/>
      <c r="AN3" s="147"/>
      <c r="AO3" s="147">
        <v>2013</v>
      </c>
      <c r="AP3" s="147"/>
      <c r="AQ3" s="147"/>
      <c r="AR3" s="147"/>
      <c r="AS3" s="147">
        <v>2014</v>
      </c>
      <c r="AT3" s="147"/>
      <c r="AU3" s="147"/>
      <c r="AV3" s="147"/>
      <c r="AW3" s="147">
        <v>2015</v>
      </c>
      <c r="AX3" s="147"/>
      <c r="AY3" s="147"/>
      <c r="AZ3" s="147"/>
      <c r="BA3" s="147">
        <v>2016</v>
      </c>
      <c r="BB3" s="147"/>
      <c r="BC3" s="147"/>
      <c r="BD3" s="147"/>
    </row>
    <row r="4" spans="1:56" s="127" customFormat="1" ht="16.5">
      <c r="A4" s="10"/>
      <c r="B4" s="10"/>
      <c r="C4" s="10"/>
      <c r="D4" s="10"/>
      <c r="E4" s="10" t="s">
        <v>6</v>
      </c>
      <c r="F4" s="10" t="s">
        <v>7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4</v>
      </c>
      <c r="L4" s="10" t="s">
        <v>5</v>
      </c>
      <c r="M4" s="10" t="s">
        <v>6</v>
      </c>
      <c r="N4" s="10" t="s">
        <v>7</v>
      </c>
      <c r="O4" s="10" t="s">
        <v>4</v>
      </c>
      <c r="P4" s="10" t="s">
        <v>5</v>
      </c>
      <c r="Q4" s="10" t="s">
        <v>6</v>
      </c>
      <c r="R4" s="10" t="s">
        <v>7</v>
      </c>
      <c r="S4" s="10" t="s">
        <v>4</v>
      </c>
      <c r="T4" s="10" t="s">
        <v>5</v>
      </c>
      <c r="U4" s="10" t="s">
        <v>6</v>
      </c>
      <c r="V4" s="10" t="s">
        <v>7</v>
      </c>
      <c r="W4" s="10" t="s">
        <v>4</v>
      </c>
      <c r="X4" s="10" t="s">
        <v>5</v>
      </c>
      <c r="Y4" s="10" t="s">
        <v>6</v>
      </c>
      <c r="Z4" s="10" t="s">
        <v>7</v>
      </c>
      <c r="AA4" s="10" t="s">
        <v>4</v>
      </c>
      <c r="AB4" s="10" t="s">
        <v>5</v>
      </c>
      <c r="AC4" s="10" t="s">
        <v>6</v>
      </c>
      <c r="AD4" s="10" t="s">
        <v>7</v>
      </c>
      <c r="AE4" s="10" t="s">
        <v>4</v>
      </c>
      <c r="AF4" s="10" t="s">
        <v>5</v>
      </c>
      <c r="AG4" s="10" t="s">
        <v>6</v>
      </c>
      <c r="AH4" s="10" t="s">
        <v>7</v>
      </c>
      <c r="AI4" s="10" t="s">
        <v>4</v>
      </c>
      <c r="AJ4" s="10" t="s">
        <v>5</v>
      </c>
      <c r="AK4" s="10" t="s">
        <v>6</v>
      </c>
      <c r="AL4" s="10" t="s">
        <v>7</v>
      </c>
      <c r="AM4" s="10" t="s">
        <v>4</v>
      </c>
      <c r="AN4" s="10" t="s">
        <v>5</v>
      </c>
      <c r="AO4" s="10" t="s">
        <v>6</v>
      </c>
      <c r="AP4" s="10" t="s">
        <v>7</v>
      </c>
      <c r="AQ4" s="10" t="s">
        <v>4</v>
      </c>
      <c r="AR4" s="10" t="s">
        <v>5</v>
      </c>
      <c r="AS4" s="10" t="s">
        <v>6</v>
      </c>
      <c r="AT4" s="10" t="s">
        <v>7</v>
      </c>
      <c r="AU4" s="10" t="s">
        <v>4</v>
      </c>
      <c r="AV4" s="10" t="s">
        <v>5</v>
      </c>
      <c r="AW4" s="10" t="s">
        <v>6</v>
      </c>
      <c r="AX4" s="10" t="s">
        <v>7</v>
      </c>
      <c r="AY4" s="10" t="s">
        <v>4</v>
      </c>
      <c r="AZ4" s="10" t="s">
        <v>5</v>
      </c>
      <c r="BA4" s="10" t="s">
        <v>6</v>
      </c>
      <c r="BB4" s="10" t="s">
        <v>7</v>
      </c>
      <c r="BC4" s="10" t="s">
        <v>4</v>
      </c>
      <c r="BD4" s="10" t="s">
        <v>5</v>
      </c>
    </row>
    <row r="5" spans="1:56" ht="16.5">
      <c r="A5" s="11" t="s">
        <v>8</v>
      </c>
      <c r="B5" s="12" t="s">
        <v>9</v>
      </c>
      <c r="C5" s="12"/>
      <c r="D5" s="12"/>
      <c r="E5" s="13">
        <f t="shared" ref="E5:Y5" si="0">E6+E7</f>
        <v>3464.5820000000003</v>
      </c>
      <c r="F5" s="13">
        <f t="shared" si="0"/>
        <v>3536.8239999999996</v>
      </c>
      <c r="G5" s="13">
        <f t="shared" si="0"/>
        <v>3729.01</v>
      </c>
      <c r="H5" s="13">
        <f t="shared" si="0"/>
        <v>3811.9539999999997</v>
      </c>
      <c r="I5" s="13">
        <f t="shared" si="0"/>
        <v>3868.9720000000002</v>
      </c>
      <c r="J5" s="13">
        <f t="shared" si="0"/>
        <v>3891.0320000000002</v>
      </c>
      <c r="K5" s="13">
        <f t="shared" si="0"/>
        <v>4018.8679999999999</v>
      </c>
      <c r="L5" s="13">
        <f t="shared" si="0"/>
        <v>3888.2310000000002</v>
      </c>
      <c r="M5" s="13">
        <f t="shared" si="0"/>
        <v>3962.4960000000001</v>
      </c>
      <c r="N5" s="13">
        <f t="shared" si="0"/>
        <v>3998.5060000000003</v>
      </c>
      <c r="O5" s="13">
        <f t="shared" si="0"/>
        <v>3928.3119999999999</v>
      </c>
      <c r="P5" s="13">
        <f t="shared" si="0"/>
        <v>3851.5060000000003</v>
      </c>
      <c r="Q5" s="14">
        <f>Q6+Q7</f>
        <v>3931.2640000000001</v>
      </c>
      <c r="R5" s="14">
        <f>R6+R7</f>
        <v>3782.2489999999998</v>
      </c>
      <c r="S5" s="15">
        <f t="shared" si="0"/>
        <v>3831.76</v>
      </c>
      <c r="T5" s="15">
        <f t="shared" si="0"/>
        <v>3712.4870000000001</v>
      </c>
      <c r="U5" s="13">
        <f t="shared" si="0"/>
        <v>3881.3490000000002</v>
      </c>
      <c r="V5" s="13">
        <f t="shared" si="0"/>
        <v>3963.527</v>
      </c>
      <c r="W5" s="13">
        <f t="shared" si="0"/>
        <v>4100.6679999999997</v>
      </c>
      <c r="X5" s="16">
        <f t="shared" si="0"/>
        <v>4220.9030000000002</v>
      </c>
      <c r="Y5" s="13">
        <f t="shared" si="0"/>
        <v>4228.5969999999998</v>
      </c>
      <c r="Z5" s="14">
        <f>Z6+Z7</f>
        <v>4227.107</v>
      </c>
      <c r="AA5" s="14">
        <f>AA6+AA7</f>
        <v>4338.4110000000001</v>
      </c>
      <c r="AB5" s="16">
        <f>AB6+AB7</f>
        <v>4396.6399999999994</v>
      </c>
      <c r="AC5" s="14">
        <f t="shared" ref="AC5:AP5" si="1">AC6+AC7</f>
        <v>4458.0829999999996</v>
      </c>
      <c r="AD5" s="14">
        <f t="shared" si="1"/>
        <v>4582.4250000000002</v>
      </c>
      <c r="AE5" s="14">
        <f t="shared" si="1"/>
        <v>4664.1890000000003</v>
      </c>
      <c r="AF5" s="14">
        <f t="shared" si="1"/>
        <v>4718.1710000000003</v>
      </c>
      <c r="AG5" s="14">
        <f t="shared" si="1"/>
        <v>4705.6270000000004</v>
      </c>
      <c r="AH5" s="14">
        <f t="shared" si="1"/>
        <v>4810.1049999999996</v>
      </c>
      <c r="AI5" s="14">
        <f t="shared" si="1"/>
        <v>4870.8209999999999</v>
      </c>
      <c r="AJ5" s="14">
        <f t="shared" si="1"/>
        <v>4951.1880000000001</v>
      </c>
      <c r="AK5" s="14">
        <f t="shared" si="1"/>
        <v>5088.9390000000003</v>
      </c>
      <c r="AL5" s="14">
        <f t="shared" si="1"/>
        <v>5100.6010000000006</v>
      </c>
      <c r="AM5" s="14">
        <f t="shared" si="1"/>
        <v>5213.0519999999997</v>
      </c>
      <c r="AN5" s="14">
        <f t="shared" si="1"/>
        <v>5437.1040000000003</v>
      </c>
      <c r="AO5" s="14">
        <f t="shared" si="1"/>
        <v>5281.48</v>
      </c>
      <c r="AP5" s="14">
        <f t="shared" si="1"/>
        <v>5451.3280000000004</v>
      </c>
      <c r="AQ5" s="14">
        <f t="shared" ref="AQ5:AZ5" si="2">AQ6+AQ7</f>
        <v>5609.665</v>
      </c>
      <c r="AR5" s="14">
        <f t="shared" si="2"/>
        <v>5681.1530000000002</v>
      </c>
      <c r="AS5" s="14">
        <f t="shared" si="2"/>
        <v>5628.4250000000002</v>
      </c>
      <c r="AT5" s="17">
        <f t="shared" si="2"/>
        <v>5650.8819999999996</v>
      </c>
      <c r="AU5" s="14">
        <f t="shared" si="2"/>
        <v>5723.0059999999994</v>
      </c>
      <c r="AV5" s="14">
        <f t="shared" si="2"/>
        <v>5735.2420000000002</v>
      </c>
      <c r="AW5" s="14">
        <f t="shared" si="2"/>
        <v>5787.3950000000004</v>
      </c>
      <c r="AX5" s="14">
        <f t="shared" si="2"/>
        <v>5816.2160000000003</v>
      </c>
      <c r="AY5" s="14">
        <f t="shared" si="2"/>
        <v>5935.69381680675</v>
      </c>
      <c r="AZ5" s="14">
        <f t="shared" si="2"/>
        <v>0</v>
      </c>
    </row>
    <row r="6" spans="1:56" ht="16.5">
      <c r="A6" s="2"/>
      <c r="B6" s="2"/>
      <c r="C6" s="2" t="s">
        <v>10</v>
      </c>
      <c r="D6" s="2"/>
      <c r="E6" s="3">
        <v>1762.7470000000001</v>
      </c>
      <c r="F6" s="3">
        <v>1833.4949999999999</v>
      </c>
      <c r="G6" s="3">
        <v>1960.78</v>
      </c>
      <c r="H6" s="18">
        <v>2001.22</v>
      </c>
      <c r="I6" s="3">
        <v>2059.4650000000001</v>
      </c>
      <c r="J6" s="3">
        <v>2034.992</v>
      </c>
      <c r="K6" s="3">
        <v>2144.4679999999998</v>
      </c>
      <c r="L6" s="3">
        <v>2164.2930000000001</v>
      </c>
      <c r="M6" s="3">
        <v>2190.3629999999998</v>
      </c>
      <c r="N6" s="3">
        <v>2161.3670000000002</v>
      </c>
      <c r="O6" s="3">
        <v>2164.366</v>
      </c>
      <c r="P6" s="3">
        <v>2154.078</v>
      </c>
      <c r="Q6" s="3">
        <v>2177.788</v>
      </c>
      <c r="R6" s="3">
        <v>2118.8609999999999</v>
      </c>
      <c r="S6" s="19">
        <v>2205.9690000000001</v>
      </c>
      <c r="T6" s="19">
        <v>2201.1669999999999</v>
      </c>
      <c r="U6" s="3">
        <v>2286.6779999999999</v>
      </c>
      <c r="V6" s="3">
        <v>2303.223</v>
      </c>
      <c r="W6" s="3">
        <v>2369.4340000000002</v>
      </c>
      <c r="X6" s="19">
        <v>2414.4279999999999</v>
      </c>
      <c r="Y6" s="3">
        <v>2386.9789999999998</v>
      </c>
      <c r="Z6" s="3">
        <v>2376.0889999999999</v>
      </c>
      <c r="AA6" s="3">
        <v>2424.2020000000002</v>
      </c>
      <c r="AB6" s="19">
        <v>2470.04</v>
      </c>
      <c r="AC6" s="3">
        <v>2536.6669999999999</v>
      </c>
      <c r="AD6" s="3">
        <v>2595.8139999999999</v>
      </c>
      <c r="AE6" s="3">
        <v>2698.4870000000001</v>
      </c>
      <c r="AF6" s="3">
        <v>2718.2020000000002</v>
      </c>
      <c r="AG6" s="3">
        <v>2666.672</v>
      </c>
      <c r="AH6" s="3">
        <v>2758.8130000000001</v>
      </c>
      <c r="AI6" s="3">
        <v>2780.8339999999998</v>
      </c>
      <c r="AJ6" s="3">
        <v>2873.357</v>
      </c>
      <c r="AK6" s="3">
        <v>3015.02</v>
      </c>
      <c r="AL6" s="3">
        <v>3050.0540000000001</v>
      </c>
      <c r="AM6" s="3">
        <v>3184.8589999999999</v>
      </c>
      <c r="AN6" s="3">
        <v>3468.375</v>
      </c>
      <c r="AO6" s="3">
        <v>3406.134</v>
      </c>
      <c r="AP6" s="20">
        <v>3501.7910000000002</v>
      </c>
      <c r="AQ6" s="20">
        <v>3677.5680000000002</v>
      </c>
      <c r="AR6" s="3">
        <v>3733.422</v>
      </c>
      <c r="AS6" s="3">
        <v>3662.3209999999999</v>
      </c>
      <c r="AT6" s="21">
        <v>3731.7950000000001</v>
      </c>
      <c r="AU6" s="3">
        <v>3759.3449999999998</v>
      </c>
      <c r="AV6" s="3">
        <v>3820.6030000000001</v>
      </c>
      <c r="AW6" s="3">
        <v>3854.6970000000001</v>
      </c>
      <c r="AX6" s="3">
        <v>3839.31</v>
      </c>
      <c r="AY6" s="3">
        <v>3883.1614378941499</v>
      </c>
    </row>
    <row r="7" spans="1:56" ht="16.5">
      <c r="A7" s="2"/>
      <c r="B7" s="2"/>
      <c r="C7" s="2" t="s">
        <v>11</v>
      </c>
      <c r="D7" s="2"/>
      <c r="E7" s="3">
        <v>1701.835</v>
      </c>
      <c r="F7" s="3">
        <v>1703.329</v>
      </c>
      <c r="G7" s="3">
        <v>1768.23</v>
      </c>
      <c r="H7" s="22">
        <v>1810.7339999999999</v>
      </c>
      <c r="I7" s="3">
        <v>1809.5070000000001</v>
      </c>
      <c r="J7" s="3">
        <v>1856.04</v>
      </c>
      <c r="K7" s="3">
        <v>1874.4</v>
      </c>
      <c r="L7" s="3">
        <v>1723.9380000000001</v>
      </c>
      <c r="M7" s="3">
        <v>1772.133</v>
      </c>
      <c r="N7" s="3">
        <v>1837.1389999999999</v>
      </c>
      <c r="O7" s="3">
        <v>1763.9459999999999</v>
      </c>
      <c r="P7" s="3">
        <v>1697.4280000000001</v>
      </c>
      <c r="Q7" s="3">
        <v>1753.4760000000001</v>
      </c>
      <c r="R7" s="3">
        <v>1663.3879999999999</v>
      </c>
      <c r="S7" s="19">
        <v>1625.7909999999999</v>
      </c>
      <c r="T7" s="19">
        <v>1511.32</v>
      </c>
      <c r="U7" s="3">
        <v>1594.671</v>
      </c>
      <c r="V7" s="3">
        <v>1660.3040000000001</v>
      </c>
      <c r="W7" s="3">
        <v>1731.2339999999999</v>
      </c>
      <c r="X7" s="19">
        <v>1806.4749999999999</v>
      </c>
      <c r="Y7" s="3">
        <v>1841.6179999999999</v>
      </c>
      <c r="Z7" s="3">
        <v>1851.018</v>
      </c>
      <c r="AA7" s="3">
        <v>1914.2090000000001</v>
      </c>
      <c r="AB7" s="19">
        <v>1926.6</v>
      </c>
      <c r="AC7" s="3">
        <v>1921.4159999999999</v>
      </c>
      <c r="AD7" s="3">
        <v>1986.6110000000001</v>
      </c>
      <c r="AE7" s="3">
        <v>1965.702</v>
      </c>
      <c r="AF7" s="3">
        <v>1999.9690000000001</v>
      </c>
      <c r="AG7" s="3">
        <v>2038.9549999999999</v>
      </c>
      <c r="AH7" s="3">
        <v>2051.2919999999999</v>
      </c>
      <c r="AI7" s="3">
        <v>2089.9870000000001</v>
      </c>
      <c r="AJ7" s="3">
        <v>2077.8310000000001</v>
      </c>
      <c r="AK7" s="3">
        <v>2073.9189999999999</v>
      </c>
      <c r="AL7" s="3">
        <v>2050.547</v>
      </c>
      <c r="AM7" s="3">
        <v>2028.193</v>
      </c>
      <c r="AN7" s="3">
        <v>1968.729</v>
      </c>
      <c r="AO7" s="3">
        <v>1875.346</v>
      </c>
      <c r="AP7" s="20">
        <v>1949.537</v>
      </c>
      <c r="AQ7" s="20">
        <v>1932.097</v>
      </c>
      <c r="AR7" s="3">
        <v>1947.731</v>
      </c>
      <c r="AS7" s="3">
        <v>1966.104</v>
      </c>
      <c r="AT7" s="21">
        <v>1919.087</v>
      </c>
      <c r="AU7" s="3">
        <v>1963.6610000000001</v>
      </c>
      <c r="AV7" s="3">
        <v>1914.6389999999999</v>
      </c>
      <c r="AW7" s="3">
        <v>1932.6980000000001</v>
      </c>
      <c r="AX7" s="3">
        <v>1976.9059999999999</v>
      </c>
      <c r="AY7" s="3">
        <v>2052.5323789126001</v>
      </c>
    </row>
    <row r="8" spans="1:56" ht="16.5">
      <c r="A8" s="2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2"/>
      <c r="N8" s="2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4"/>
      <c r="AL8" s="4"/>
      <c r="AM8" s="4"/>
      <c r="AN8" s="4"/>
      <c r="AO8" s="4"/>
      <c r="AP8" s="4"/>
      <c r="AQ8" s="4"/>
      <c r="AR8" s="4"/>
      <c r="AS8" s="4"/>
    </row>
    <row r="9" spans="1:56" ht="16.5">
      <c r="A9" s="23" t="s">
        <v>12</v>
      </c>
      <c r="B9" s="24" t="s">
        <v>13</v>
      </c>
      <c r="C9" s="24"/>
      <c r="D9" s="24"/>
      <c r="E9" s="25">
        <f t="shared" ref="E9:Y9" si="3">E10+E11</f>
        <v>293.55712</v>
      </c>
      <c r="F9" s="25">
        <f t="shared" si="3"/>
        <v>352.49086999999997</v>
      </c>
      <c r="G9" s="25">
        <f t="shared" si="3"/>
        <v>389.33102000000002</v>
      </c>
      <c r="H9" s="25">
        <f t="shared" si="3"/>
        <v>414.87021999999996</v>
      </c>
      <c r="I9" s="25">
        <f t="shared" si="3"/>
        <v>428.33492000000001</v>
      </c>
      <c r="J9" s="25">
        <f t="shared" si="3"/>
        <v>405.10820999999999</v>
      </c>
      <c r="K9" s="25">
        <f t="shared" si="3"/>
        <v>434.58213999999998</v>
      </c>
      <c r="L9" s="25">
        <f t="shared" si="3"/>
        <v>467.52572000000004</v>
      </c>
      <c r="M9" s="25">
        <f t="shared" si="3"/>
        <v>488.93432000000007</v>
      </c>
      <c r="N9" s="25">
        <f t="shared" si="3"/>
        <v>517.19160999999997</v>
      </c>
      <c r="O9" s="25">
        <f t="shared" si="3"/>
        <v>523.59400999999991</v>
      </c>
      <c r="P9" s="25">
        <f t="shared" si="3"/>
        <v>511.33054000000004</v>
      </c>
      <c r="Q9" s="26">
        <f>Q10+Q11</f>
        <v>552.30462999999997</v>
      </c>
      <c r="R9" s="26">
        <f>R10+R11</f>
        <v>562.81420000000003</v>
      </c>
      <c r="S9" s="27">
        <f t="shared" si="3"/>
        <v>548.25009</v>
      </c>
      <c r="T9" s="27">
        <f t="shared" si="3"/>
        <v>534.35642000000007</v>
      </c>
      <c r="U9" s="25">
        <f t="shared" si="3"/>
        <v>627.42672000000005</v>
      </c>
      <c r="V9" s="25">
        <f t="shared" si="3"/>
        <v>611.76830000000007</v>
      </c>
      <c r="W9" s="25">
        <f t="shared" si="3"/>
        <v>623.66252000000009</v>
      </c>
      <c r="X9" s="27">
        <f t="shared" si="3"/>
        <v>615.77286000000004</v>
      </c>
      <c r="Y9" s="25">
        <f t="shared" si="3"/>
        <v>605.30141000000003</v>
      </c>
      <c r="Z9" s="26">
        <f>Z10+Z11</f>
        <v>604.45476000000008</v>
      </c>
      <c r="AA9" s="26">
        <f>AA10+AA11</f>
        <v>621.11698000000013</v>
      </c>
      <c r="AB9" s="28">
        <f>AB10+AB11</f>
        <v>619.81132000000002</v>
      </c>
      <c r="AC9" s="26">
        <f t="shared" ref="AC9:AP9" si="4">AC10+AC11</f>
        <v>693.16472999999996</v>
      </c>
      <c r="AD9" s="26">
        <f t="shared" si="4"/>
        <v>676.55663000000004</v>
      </c>
      <c r="AE9" s="26">
        <f t="shared" si="4"/>
        <v>643.66311000000007</v>
      </c>
      <c r="AF9" s="26">
        <f t="shared" si="4"/>
        <v>673.53811999999994</v>
      </c>
      <c r="AG9" s="26">
        <f t="shared" si="4"/>
        <v>454.05810232583997</v>
      </c>
      <c r="AH9" s="26">
        <f t="shared" si="4"/>
        <v>459.73533326284002</v>
      </c>
      <c r="AI9" s="26">
        <f t="shared" si="4"/>
        <v>436.03149086908002</v>
      </c>
      <c r="AJ9" s="26">
        <f t="shared" si="4"/>
        <v>588.70726573523996</v>
      </c>
      <c r="AK9" s="26">
        <f t="shared" si="4"/>
        <v>529.00642173524</v>
      </c>
      <c r="AL9" s="26">
        <f t="shared" si="4"/>
        <v>579.56019245224002</v>
      </c>
      <c r="AM9" s="26">
        <f t="shared" si="4"/>
        <v>693.22876526523999</v>
      </c>
      <c r="AN9" s="29">
        <f t="shared" si="4"/>
        <v>764.91705526524004</v>
      </c>
      <c r="AO9" s="29">
        <f t="shared" si="4"/>
        <v>742.56838193023998</v>
      </c>
      <c r="AP9" s="29">
        <f t="shared" si="4"/>
        <v>756.22101999999995</v>
      </c>
      <c r="AQ9" s="29">
        <f t="shared" ref="AQ9:AZ9" si="5">AQ10+AQ11</f>
        <v>747.11</v>
      </c>
      <c r="AR9" s="29">
        <f t="shared" si="5"/>
        <v>747.94538999999997</v>
      </c>
      <c r="AS9" s="29">
        <f t="shared" si="5"/>
        <v>726.2713</v>
      </c>
      <c r="AT9" s="30">
        <f t="shared" si="5"/>
        <v>733.61874999999998</v>
      </c>
      <c r="AU9" s="29">
        <f t="shared" si="5"/>
        <v>718.86485147223993</v>
      </c>
      <c r="AV9" s="29">
        <f t="shared" si="5"/>
        <v>711.97222999999997</v>
      </c>
      <c r="AW9" s="29">
        <f t="shared" si="5"/>
        <v>719.55669966799996</v>
      </c>
      <c r="AX9" s="29">
        <f t="shared" si="5"/>
        <v>705.73059502824003</v>
      </c>
      <c r="AY9" s="29">
        <f t="shared" si="5"/>
        <v>693.50468469674001</v>
      </c>
      <c r="AZ9" s="29">
        <f t="shared" si="5"/>
        <v>0</v>
      </c>
    </row>
    <row r="10" spans="1:56" ht="16.5">
      <c r="A10" s="31"/>
      <c r="B10" s="2"/>
      <c r="C10" s="2" t="s">
        <v>10</v>
      </c>
      <c r="D10" s="2"/>
      <c r="E10" s="3">
        <f>289.38587+1.59538</f>
        <v>290.98124999999999</v>
      </c>
      <c r="F10" s="3">
        <f>347.90647+1.61008</f>
        <v>349.51655</v>
      </c>
      <c r="G10" s="3">
        <f>384.59027+1.65579</f>
        <v>386.24606</v>
      </c>
      <c r="H10" s="3">
        <f>410.09997+1.6672</f>
        <v>411.76716999999996</v>
      </c>
      <c r="I10" s="3">
        <f>423.61901+1.67489</f>
        <v>425.29390000000001</v>
      </c>
      <c r="J10" s="3">
        <f>400.18573+1.71105</f>
        <v>401.89677999999998</v>
      </c>
      <c r="K10" s="3">
        <f>428.78317+1.74787</f>
        <v>430.53103999999996</v>
      </c>
      <c r="L10" s="3">
        <f>461.85235+1.78539</f>
        <v>463.63774000000001</v>
      </c>
      <c r="M10" s="3">
        <f>483.28973+1.82377</f>
        <v>485.11350000000004</v>
      </c>
      <c r="N10" s="3">
        <f>511.285+1.86454</f>
        <v>513.14954</v>
      </c>
      <c r="O10" s="3">
        <f>517.80225+1.91095</f>
        <v>519.71319999999992</v>
      </c>
      <c r="P10" s="3">
        <f>505.55218+1.94607</f>
        <v>507.49825000000004</v>
      </c>
      <c r="Q10" s="3">
        <f>546.47226+1.99699</f>
        <v>548.46924999999999</v>
      </c>
      <c r="R10" s="3">
        <v>559.1</v>
      </c>
      <c r="S10" s="19">
        <f>542.50674+2.06126</f>
        <v>544.56799999999998</v>
      </c>
      <c r="T10" s="19">
        <f>528.82171+2.10224</f>
        <v>530.9239500000001</v>
      </c>
      <c r="U10" s="3">
        <f>622.91969+2.15195</f>
        <v>625.07164</v>
      </c>
      <c r="V10" s="3">
        <f>607.03886+2.19446</f>
        <v>609.23332000000005</v>
      </c>
      <c r="W10" s="3">
        <f>618.50512+2.43996</f>
        <v>620.94508000000008</v>
      </c>
      <c r="X10" s="19">
        <f>610.69847+2.30506</f>
        <v>613.00353000000007</v>
      </c>
      <c r="Y10" s="3">
        <f>600.06506+2.3467</f>
        <v>602.41176000000007</v>
      </c>
      <c r="Z10" s="3">
        <f>599.13638+2.40202</f>
        <v>601.53840000000002</v>
      </c>
      <c r="AA10" s="3">
        <f>614.06875+2.45522</f>
        <v>616.52397000000008</v>
      </c>
      <c r="AB10" s="19">
        <f>613.44416+2.50019</f>
        <v>615.94434999999999</v>
      </c>
      <c r="AC10" s="3">
        <f>690.60876+2.55597</f>
        <v>693.16472999999996</v>
      </c>
      <c r="AD10" s="3">
        <f>673.9555+2.60113</f>
        <v>676.55663000000004</v>
      </c>
      <c r="AE10" s="3">
        <f>641.01867+2.64444</f>
        <v>643.66311000000007</v>
      </c>
      <c r="AF10" s="3">
        <f>612.38865+2.69624</f>
        <v>615.08488999999997</v>
      </c>
      <c r="AG10" s="3">
        <f>451.317504419+2.74059790684</f>
        <v>454.05810232583997</v>
      </c>
      <c r="AH10" s="3">
        <f>456.943335354+2.79199790884</f>
        <v>459.73533326284002</v>
      </c>
      <c r="AI10" s="3">
        <f>433.24959296024+2.78189790884</f>
        <v>436.03149086908002</v>
      </c>
      <c r="AJ10" s="3">
        <f>527.07386573524+2.8334</f>
        <v>529.90726573524</v>
      </c>
      <c r="AK10" s="3">
        <f>526.13856173524+2.86786</f>
        <v>529.00642173524</v>
      </c>
      <c r="AL10" s="3">
        <f>576.63999245224+2.9202</f>
        <v>579.56019245224002</v>
      </c>
      <c r="AM10" s="3">
        <f>690.20076526524+3.028</f>
        <v>693.22876526523999</v>
      </c>
      <c r="AN10" s="3">
        <f>685.83885526524+3.0782</f>
        <v>688.91705526524004</v>
      </c>
      <c r="AO10" s="3">
        <f>667.15418193024+3.1089</f>
        <v>670.26308193023999</v>
      </c>
      <c r="AP10" s="3">
        <f>676.35219+0.0403+3.167</f>
        <v>679.55948999999998</v>
      </c>
      <c r="AQ10" s="20">
        <f>666.76+0.04+3.22</f>
        <v>670.02</v>
      </c>
      <c r="AR10" s="3">
        <f>665.38+0.04+3.28539</f>
        <v>668.70538999999997</v>
      </c>
      <c r="AS10" s="3">
        <f>644.66291+3.3252</f>
        <v>647.98811000000001</v>
      </c>
      <c r="AT10" s="3">
        <f>648.05245+3.39164+4.17946</f>
        <v>655.62355000000002</v>
      </c>
      <c r="AU10" s="3">
        <f>636.21942147224+3.309</f>
        <v>639.52842147223998</v>
      </c>
      <c r="AV10" s="3">
        <f>628.37122+2.14738+3.3099</f>
        <v>633.82849999999996</v>
      </c>
      <c r="AW10" s="3">
        <f>639.046799668+3.3099</f>
        <v>642.35669966799992</v>
      </c>
      <c r="AX10" s="3">
        <f>621.92689502824+3.3089</f>
        <v>625.23579502823998</v>
      </c>
      <c r="AY10" s="3">
        <f>606.78960469674+3.3089</f>
        <v>610.09850469673995</v>
      </c>
    </row>
    <row r="11" spans="1:56" ht="16.5">
      <c r="A11" s="31"/>
      <c r="B11" s="2"/>
      <c r="C11" s="2" t="s">
        <v>11</v>
      </c>
      <c r="D11" s="2"/>
      <c r="E11" s="32">
        <v>2.5758700000000001</v>
      </c>
      <c r="F11" s="32">
        <v>2.9743200000000001</v>
      </c>
      <c r="G11" s="32">
        <v>3.0849600000000001</v>
      </c>
      <c r="H11" s="32">
        <v>3.1030500000000001</v>
      </c>
      <c r="I11" s="3">
        <f>3.04102</f>
        <v>3.0410200000000001</v>
      </c>
      <c r="J11" s="3">
        <v>3.21143</v>
      </c>
      <c r="K11" s="3">
        <v>4.0510999999999999</v>
      </c>
      <c r="L11" s="3">
        <v>3.8879800000000002</v>
      </c>
      <c r="M11" s="3">
        <v>3.8208199999999999</v>
      </c>
      <c r="N11" s="3">
        <v>4.0420699999999998</v>
      </c>
      <c r="O11" s="3">
        <v>3.8808099999999999</v>
      </c>
      <c r="P11" s="3">
        <v>3.83229</v>
      </c>
      <c r="Q11" s="3">
        <v>3.8353799999999998</v>
      </c>
      <c r="R11" s="3">
        <v>3.7141999999999999</v>
      </c>
      <c r="S11" s="19">
        <v>3.6820900000000001</v>
      </c>
      <c r="T11" s="19">
        <v>3.4324699999999999</v>
      </c>
      <c r="U11" s="3">
        <v>2.3550800000000001</v>
      </c>
      <c r="V11" s="3">
        <v>2.53498</v>
      </c>
      <c r="W11" s="3">
        <v>2.7174399999999999</v>
      </c>
      <c r="X11" s="19">
        <v>2.7693300000000001</v>
      </c>
      <c r="Y11" s="3">
        <v>2.8896500000000001</v>
      </c>
      <c r="Z11" s="3">
        <v>2.9163600000000001</v>
      </c>
      <c r="AA11" s="3">
        <v>4.5930099999999996</v>
      </c>
      <c r="AB11" s="33">
        <v>3.8669699999999998</v>
      </c>
      <c r="AC11" s="3">
        <v>0</v>
      </c>
      <c r="AD11" s="3">
        <v>0</v>
      </c>
      <c r="AE11" s="3">
        <v>0</v>
      </c>
      <c r="AF11" s="3">
        <v>58.453229999999998</v>
      </c>
      <c r="AG11" s="3">
        <v>0</v>
      </c>
      <c r="AH11" s="3">
        <v>0</v>
      </c>
      <c r="AI11" s="3">
        <v>0</v>
      </c>
      <c r="AJ11" s="3">
        <v>58.8</v>
      </c>
      <c r="AK11" s="3"/>
      <c r="AL11" s="3">
        <v>0</v>
      </c>
      <c r="AM11" s="3">
        <v>0</v>
      </c>
      <c r="AN11" s="3">
        <v>76</v>
      </c>
      <c r="AO11" s="3">
        <v>72.305300000000003</v>
      </c>
      <c r="AP11" s="20">
        <v>76.661529999999999</v>
      </c>
      <c r="AQ11" s="20">
        <v>77.09</v>
      </c>
      <c r="AR11" s="3">
        <v>79.239999999999995</v>
      </c>
      <c r="AS11" s="3">
        <v>78.283190000000005</v>
      </c>
      <c r="AT11" s="34">
        <v>77.995199999999997</v>
      </c>
      <c r="AU11" s="21">
        <v>79.336429999999993</v>
      </c>
      <c r="AV11" s="21">
        <f>66.47228+11.67145</f>
        <v>78.143730000000005</v>
      </c>
      <c r="AW11" s="3">
        <v>77.2</v>
      </c>
      <c r="AX11" s="3">
        <v>80.494799999999998</v>
      </c>
      <c r="AY11" s="3">
        <v>83.406180000000006</v>
      </c>
    </row>
    <row r="12" spans="1:56" ht="16.5">
      <c r="A12" s="11" t="s">
        <v>14</v>
      </c>
      <c r="B12" s="12" t="s">
        <v>15</v>
      </c>
      <c r="C12" s="12"/>
      <c r="D12" s="12"/>
      <c r="E12" s="13">
        <f t="shared" ref="E12:AZ12" si="6">E13+E14</f>
        <v>3171.0248799999999</v>
      </c>
      <c r="F12" s="13">
        <f t="shared" si="6"/>
        <v>3184.33313</v>
      </c>
      <c r="G12" s="13">
        <f t="shared" si="6"/>
        <v>3339.6789800000001</v>
      </c>
      <c r="H12" s="13">
        <f t="shared" si="6"/>
        <v>3397.0837799999999</v>
      </c>
      <c r="I12" s="13">
        <f t="shared" si="6"/>
        <v>3440.6370800000004</v>
      </c>
      <c r="J12" s="13">
        <f t="shared" si="6"/>
        <v>3485.9237899999998</v>
      </c>
      <c r="K12" s="13">
        <f t="shared" si="6"/>
        <v>3584.28586</v>
      </c>
      <c r="L12" s="13">
        <f t="shared" si="6"/>
        <v>3420.7052800000001</v>
      </c>
      <c r="M12" s="13">
        <f t="shared" si="6"/>
        <v>3473.5616799999998</v>
      </c>
      <c r="N12" s="13">
        <f t="shared" si="6"/>
        <v>3481.3143900000005</v>
      </c>
      <c r="O12" s="13">
        <f t="shared" si="6"/>
        <v>3404.7179900000001</v>
      </c>
      <c r="P12" s="13">
        <f t="shared" si="6"/>
        <v>3340.1754599999999</v>
      </c>
      <c r="Q12" s="13">
        <f t="shared" si="6"/>
        <v>3378.95937</v>
      </c>
      <c r="R12" s="13">
        <f t="shared" si="6"/>
        <v>3219.4348</v>
      </c>
      <c r="S12" s="13">
        <f t="shared" si="6"/>
        <v>3283.5099099999998</v>
      </c>
      <c r="T12" s="13">
        <f t="shared" si="6"/>
        <v>3178.13058</v>
      </c>
      <c r="U12" s="13">
        <f t="shared" si="6"/>
        <v>3253.9222799999998</v>
      </c>
      <c r="V12" s="13">
        <f t="shared" si="6"/>
        <v>3351.7587000000003</v>
      </c>
      <c r="W12" s="13">
        <f t="shared" si="6"/>
        <v>3477.0054800000003</v>
      </c>
      <c r="X12" s="13">
        <f t="shared" si="6"/>
        <v>3605.1301399999998</v>
      </c>
      <c r="Y12" s="13">
        <f t="shared" si="6"/>
        <v>3623.2955899999997</v>
      </c>
      <c r="Z12" s="13">
        <f t="shared" si="6"/>
        <v>3622.6522400000003</v>
      </c>
      <c r="AA12" s="13">
        <f t="shared" si="6"/>
        <v>3717.2940200000003</v>
      </c>
      <c r="AB12" s="13">
        <f t="shared" si="6"/>
        <v>3776.8286799999996</v>
      </c>
      <c r="AC12" s="14">
        <f t="shared" si="6"/>
        <v>3764.9182700000001</v>
      </c>
      <c r="AD12" s="14">
        <f t="shared" si="6"/>
        <v>3905.8683700000001</v>
      </c>
      <c r="AE12" s="14">
        <f t="shared" si="6"/>
        <v>4020.5258899999999</v>
      </c>
      <c r="AF12" s="14">
        <f t="shared" si="6"/>
        <v>4044.6328800000001</v>
      </c>
      <c r="AG12" s="14">
        <f t="shared" si="6"/>
        <v>4251.5688976741603</v>
      </c>
      <c r="AH12" s="14">
        <f t="shared" si="6"/>
        <v>4350.3696667371605</v>
      </c>
      <c r="AI12" s="14">
        <f t="shared" si="6"/>
        <v>4434.7895091309201</v>
      </c>
      <c r="AJ12" s="14">
        <f t="shared" si="6"/>
        <v>4362.48073426476</v>
      </c>
      <c r="AK12" s="14">
        <f t="shared" si="6"/>
        <v>4559.9325782647593</v>
      </c>
      <c r="AL12" s="14">
        <f t="shared" si="6"/>
        <v>4521.0408075477608</v>
      </c>
      <c r="AM12" s="14">
        <f t="shared" si="6"/>
        <v>4519.8232347347603</v>
      </c>
      <c r="AN12" s="14">
        <f t="shared" si="6"/>
        <v>4672.1869447347599</v>
      </c>
      <c r="AO12" s="14">
        <f t="shared" si="6"/>
        <v>4538.9116180697602</v>
      </c>
      <c r="AP12" s="14">
        <f t="shared" si="6"/>
        <v>4695.1069800000005</v>
      </c>
      <c r="AQ12" s="14">
        <f t="shared" si="6"/>
        <v>4862.5550000000003</v>
      </c>
      <c r="AR12" s="14">
        <f t="shared" si="6"/>
        <v>4933.2076099999995</v>
      </c>
      <c r="AS12" s="14">
        <f t="shared" si="6"/>
        <v>4902.1536999999998</v>
      </c>
      <c r="AT12" s="14">
        <f t="shared" si="6"/>
        <v>4917.26325</v>
      </c>
      <c r="AU12" s="14">
        <f t="shared" si="6"/>
        <v>5004.1411485277595</v>
      </c>
      <c r="AV12" s="14">
        <f t="shared" si="6"/>
        <v>5023.2697699999999</v>
      </c>
      <c r="AW12" s="14">
        <f t="shared" si="6"/>
        <v>5067.8383003319996</v>
      </c>
      <c r="AX12" s="14">
        <f t="shared" si="6"/>
        <v>5110.4854049717596</v>
      </c>
      <c r="AY12" s="14">
        <f t="shared" si="6"/>
        <v>5242.1891321100102</v>
      </c>
      <c r="AZ12" s="14">
        <f t="shared" si="6"/>
        <v>0</v>
      </c>
    </row>
    <row r="13" spans="1:56" ht="16.5">
      <c r="A13" s="31"/>
      <c r="B13" s="2"/>
      <c r="C13" s="2" t="s">
        <v>10</v>
      </c>
      <c r="D13" s="2"/>
      <c r="E13" s="3">
        <f t="shared" ref="E13:AV14" si="7">E6-E10</f>
        <v>1471.76575</v>
      </c>
      <c r="F13" s="3">
        <f t="shared" si="7"/>
        <v>1483.9784499999998</v>
      </c>
      <c r="G13" s="3">
        <f t="shared" si="7"/>
        <v>1574.53394</v>
      </c>
      <c r="H13" s="3">
        <f t="shared" si="7"/>
        <v>1589.4528300000002</v>
      </c>
      <c r="I13" s="3">
        <f t="shared" si="7"/>
        <v>1634.1711</v>
      </c>
      <c r="J13" s="3">
        <f t="shared" si="7"/>
        <v>1633.0952199999999</v>
      </c>
      <c r="K13" s="3">
        <f t="shared" si="7"/>
        <v>1713.93696</v>
      </c>
      <c r="L13" s="3">
        <f t="shared" si="7"/>
        <v>1700.65526</v>
      </c>
      <c r="M13" s="3">
        <f t="shared" si="7"/>
        <v>1705.2494999999999</v>
      </c>
      <c r="N13" s="3">
        <f t="shared" si="7"/>
        <v>1648.2174600000003</v>
      </c>
      <c r="O13" s="3">
        <f t="shared" si="7"/>
        <v>1644.6528000000001</v>
      </c>
      <c r="P13" s="3">
        <f t="shared" si="7"/>
        <v>1646.5797499999999</v>
      </c>
      <c r="Q13" s="3">
        <f t="shared" si="7"/>
        <v>1629.3187499999999</v>
      </c>
      <c r="R13" s="3">
        <f t="shared" si="7"/>
        <v>1559.761</v>
      </c>
      <c r="S13" s="3">
        <f t="shared" si="7"/>
        <v>1661.4010000000001</v>
      </c>
      <c r="T13" s="3">
        <f t="shared" si="7"/>
        <v>1670.2430499999998</v>
      </c>
      <c r="U13" s="3">
        <f t="shared" si="7"/>
        <v>1661.6063599999998</v>
      </c>
      <c r="V13" s="3">
        <f t="shared" si="7"/>
        <v>1693.9896799999999</v>
      </c>
      <c r="W13" s="3">
        <f t="shared" si="7"/>
        <v>1748.4889200000002</v>
      </c>
      <c r="X13" s="3">
        <f t="shared" si="7"/>
        <v>1801.4244699999999</v>
      </c>
      <c r="Y13" s="3">
        <f t="shared" si="7"/>
        <v>1784.5672399999999</v>
      </c>
      <c r="Z13" s="3">
        <f t="shared" si="7"/>
        <v>1774.5506</v>
      </c>
      <c r="AA13" s="3">
        <f t="shared" si="7"/>
        <v>1807.67803</v>
      </c>
      <c r="AB13" s="3">
        <f t="shared" si="7"/>
        <v>1854.09565</v>
      </c>
      <c r="AC13" s="3">
        <f t="shared" si="7"/>
        <v>1843.50227</v>
      </c>
      <c r="AD13" s="3">
        <f t="shared" si="7"/>
        <v>1919.2573699999998</v>
      </c>
      <c r="AE13" s="3">
        <f t="shared" si="7"/>
        <v>2054.8238900000001</v>
      </c>
      <c r="AF13" s="3">
        <f t="shared" si="7"/>
        <v>2103.1171100000001</v>
      </c>
      <c r="AG13" s="3">
        <f t="shared" si="7"/>
        <v>2212.6138976741599</v>
      </c>
      <c r="AH13" s="3">
        <f t="shared" si="7"/>
        <v>2299.0776667371601</v>
      </c>
      <c r="AI13" s="3">
        <f t="shared" si="7"/>
        <v>2344.80250913092</v>
      </c>
      <c r="AJ13" s="3">
        <f t="shared" si="7"/>
        <v>2343.4497342647601</v>
      </c>
      <c r="AK13" s="3">
        <f t="shared" si="7"/>
        <v>2486.0135782647599</v>
      </c>
      <c r="AL13" s="3">
        <f t="shared" si="7"/>
        <v>2470.4938075477603</v>
      </c>
      <c r="AM13" s="3">
        <f t="shared" si="7"/>
        <v>2491.6302347347601</v>
      </c>
      <c r="AN13" s="3">
        <f t="shared" si="7"/>
        <v>2779.4579447347601</v>
      </c>
      <c r="AO13" s="3">
        <f t="shared" si="7"/>
        <v>2735.8709180697601</v>
      </c>
      <c r="AP13" s="3">
        <f t="shared" si="7"/>
        <v>2822.2315100000001</v>
      </c>
      <c r="AQ13" s="3">
        <f t="shared" si="7"/>
        <v>3007.5480000000002</v>
      </c>
      <c r="AR13" s="3">
        <f t="shared" si="7"/>
        <v>3064.7166099999999</v>
      </c>
      <c r="AS13" s="3">
        <f t="shared" si="7"/>
        <v>3014.3328899999997</v>
      </c>
      <c r="AT13" s="3">
        <f t="shared" si="7"/>
        <v>3076.1714499999998</v>
      </c>
      <c r="AU13" s="3">
        <f t="shared" si="7"/>
        <v>3119.8165785277597</v>
      </c>
      <c r="AV13" s="3">
        <f t="shared" si="7"/>
        <v>3186.7745</v>
      </c>
      <c r="AW13" s="3">
        <f t="shared" ref="AW13:AZ13" si="8">AW6-AW10</f>
        <v>3212.340300332</v>
      </c>
      <c r="AX13" s="3">
        <f t="shared" si="8"/>
        <v>3214.0742049717601</v>
      </c>
      <c r="AY13" s="3">
        <f t="shared" si="8"/>
        <v>3273.0629331974101</v>
      </c>
      <c r="AZ13" s="3">
        <f t="shared" si="8"/>
        <v>0</v>
      </c>
    </row>
    <row r="14" spans="1:56" ht="16.5">
      <c r="A14" s="2"/>
      <c r="B14" s="2"/>
      <c r="C14" s="2" t="s">
        <v>11</v>
      </c>
      <c r="D14" s="2"/>
      <c r="E14" s="3">
        <f t="shared" si="7"/>
        <v>1699.2591300000001</v>
      </c>
      <c r="F14" s="3">
        <f t="shared" si="7"/>
        <v>1700.3546799999999</v>
      </c>
      <c r="G14" s="3">
        <f t="shared" si="7"/>
        <v>1765.1450400000001</v>
      </c>
      <c r="H14" s="3">
        <f t="shared" si="7"/>
        <v>1807.63095</v>
      </c>
      <c r="I14" s="3">
        <f t="shared" si="7"/>
        <v>1806.4659800000002</v>
      </c>
      <c r="J14" s="3">
        <f t="shared" si="7"/>
        <v>1852.8285699999999</v>
      </c>
      <c r="K14" s="3">
        <f t="shared" si="7"/>
        <v>1870.3489000000002</v>
      </c>
      <c r="L14" s="3">
        <f t="shared" si="7"/>
        <v>1720.0500200000001</v>
      </c>
      <c r="M14" s="3">
        <f t="shared" si="7"/>
        <v>1768.3121800000001</v>
      </c>
      <c r="N14" s="3">
        <f t="shared" si="7"/>
        <v>1833.0969299999999</v>
      </c>
      <c r="O14" s="3">
        <f t="shared" si="7"/>
        <v>1760.0651899999998</v>
      </c>
      <c r="P14" s="3">
        <f t="shared" si="7"/>
        <v>1693.5957100000001</v>
      </c>
      <c r="Q14" s="3">
        <f t="shared" si="7"/>
        <v>1749.6406200000001</v>
      </c>
      <c r="R14" s="3">
        <f t="shared" si="7"/>
        <v>1659.6738</v>
      </c>
      <c r="S14" s="3">
        <f t="shared" si="7"/>
        <v>1622.1089099999999</v>
      </c>
      <c r="T14" s="3">
        <f t="shared" si="7"/>
        <v>1507.88753</v>
      </c>
      <c r="U14" s="3">
        <f t="shared" si="7"/>
        <v>1592.31592</v>
      </c>
      <c r="V14" s="3">
        <f t="shared" si="7"/>
        <v>1657.7690200000002</v>
      </c>
      <c r="W14" s="3">
        <f t="shared" si="7"/>
        <v>1728.51656</v>
      </c>
      <c r="X14" s="3">
        <f t="shared" si="7"/>
        <v>1803.7056699999998</v>
      </c>
      <c r="Y14" s="3">
        <f t="shared" si="7"/>
        <v>1838.7283499999999</v>
      </c>
      <c r="Z14" s="3">
        <f t="shared" si="7"/>
        <v>1848.1016400000001</v>
      </c>
      <c r="AA14" s="3">
        <f t="shared" si="7"/>
        <v>1909.61599</v>
      </c>
      <c r="AB14" s="3">
        <f t="shared" si="7"/>
        <v>1922.7330299999999</v>
      </c>
      <c r="AC14" s="3">
        <f t="shared" si="7"/>
        <v>1921.4159999999999</v>
      </c>
      <c r="AD14" s="3">
        <f t="shared" si="7"/>
        <v>1986.6110000000001</v>
      </c>
      <c r="AE14" s="3">
        <f t="shared" si="7"/>
        <v>1965.702</v>
      </c>
      <c r="AF14" s="3">
        <f t="shared" si="7"/>
        <v>1941.51577</v>
      </c>
      <c r="AG14" s="3">
        <f t="shared" si="7"/>
        <v>2038.9549999999999</v>
      </c>
      <c r="AH14" s="3">
        <f t="shared" si="7"/>
        <v>2051.2919999999999</v>
      </c>
      <c r="AI14" s="3">
        <f t="shared" si="7"/>
        <v>2089.9870000000001</v>
      </c>
      <c r="AJ14" s="3">
        <f t="shared" si="7"/>
        <v>2019.0310000000002</v>
      </c>
      <c r="AK14" s="3">
        <f t="shared" si="7"/>
        <v>2073.9189999999999</v>
      </c>
      <c r="AL14" s="3">
        <f t="shared" si="7"/>
        <v>2050.547</v>
      </c>
      <c r="AM14" s="3">
        <f t="shared" si="7"/>
        <v>2028.193</v>
      </c>
      <c r="AN14" s="3">
        <f t="shared" si="7"/>
        <v>1892.729</v>
      </c>
      <c r="AO14" s="3">
        <f t="shared" si="7"/>
        <v>1803.0407</v>
      </c>
      <c r="AP14" s="3">
        <f t="shared" si="7"/>
        <v>1872.87547</v>
      </c>
      <c r="AQ14" s="3">
        <f t="shared" si="7"/>
        <v>1855.0070000000001</v>
      </c>
      <c r="AR14" s="3">
        <f t="shared" si="7"/>
        <v>1868.491</v>
      </c>
      <c r="AS14" s="3">
        <f t="shared" si="7"/>
        <v>1887.8208099999999</v>
      </c>
      <c r="AT14" s="3">
        <f t="shared" si="7"/>
        <v>1841.0917999999999</v>
      </c>
      <c r="AU14" s="3">
        <f t="shared" si="7"/>
        <v>1884.32457</v>
      </c>
      <c r="AV14" s="3">
        <f t="shared" si="7"/>
        <v>1836.4952699999999</v>
      </c>
      <c r="AW14" s="3">
        <f t="shared" ref="AW14:AZ14" si="9">AW7-AW11</f>
        <v>1855.498</v>
      </c>
      <c r="AX14" s="3">
        <f t="shared" si="9"/>
        <v>1896.4112</v>
      </c>
      <c r="AY14" s="3">
        <f t="shared" si="9"/>
        <v>1969.1261989126001</v>
      </c>
      <c r="AZ14" s="3">
        <f t="shared" si="9"/>
        <v>0</v>
      </c>
    </row>
    <row r="15" spans="1:56" ht="16.5">
      <c r="A15" s="2"/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2"/>
      <c r="N15" s="2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4"/>
      <c r="AL15" s="4"/>
      <c r="AM15" s="4"/>
      <c r="AN15" s="4"/>
      <c r="AO15" s="3"/>
      <c r="AP15" s="4"/>
      <c r="AQ15" s="4"/>
      <c r="AR15" s="4"/>
      <c r="AS15" s="4"/>
    </row>
    <row r="16" spans="1:56" ht="16.5">
      <c r="A16" s="11" t="s">
        <v>16</v>
      </c>
      <c r="B16" s="12" t="s">
        <v>88</v>
      </c>
      <c r="C16" s="12"/>
      <c r="D16" s="12"/>
      <c r="E16" s="13">
        <f t="shared" ref="E16:Y16" si="10">E17+E18</f>
        <v>58.320999999999998</v>
      </c>
      <c r="F16" s="13">
        <f t="shared" si="10"/>
        <v>55.966414</v>
      </c>
      <c r="G16" s="13">
        <f t="shared" si="10"/>
        <v>52.988999999999997</v>
      </c>
      <c r="H16" s="13">
        <f t="shared" si="10"/>
        <v>48.489862000000002</v>
      </c>
      <c r="I16" s="13">
        <f t="shared" si="10"/>
        <v>43.983584999999998</v>
      </c>
      <c r="J16" s="13">
        <f t="shared" si="10"/>
        <v>43.486755000000002</v>
      </c>
      <c r="K16" s="13">
        <f t="shared" si="10"/>
        <v>42.825612999999997</v>
      </c>
      <c r="L16" s="13">
        <f t="shared" si="10"/>
        <v>39.049985199959998</v>
      </c>
      <c r="M16" s="13">
        <f t="shared" si="10"/>
        <v>37.440557525659997</v>
      </c>
      <c r="N16" s="13">
        <f t="shared" si="10"/>
        <v>15.72078215546</v>
      </c>
      <c r="O16" s="13">
        <f t="shared" si="10"/>
        <v>14.551884927210001</v>
      </c>
      <c r="P16" s="13">
        <f t="shared" si="10"/>
        <v>7.5809125188099999</v>
      </c>
      <c r="Q16" s="14">
        <f>Q17+Q18</f>
        <v>7.2765226069700004</v>
      </c>
      <c r="R16" s="13">
        <f t="shared" si="10"/>
        <v>1.8644636211000001</v>
      </c>
      <c r="S16" s="15">
        <f t="shared" si="10"/>
        <v>1.75864765179</v>
      </c>
      <c r="T16" s="15">
        <f t="shared" si="10"/>
        <v>1.64277736526</v>
      </c>
      <c r="U16" s="13">
        <f t="shared" si="10"/>
        <v>1.65308000728</v>
      </c>
      <c r="V16" s="13">
        <f t="shared" si="10"/>
        <v>1.6438414483699999</v>
      </c>
      <c r="W16" s="13">
        <f t="shared" si="10"/>
        <v>1.5232991545900001</v>
      </c>
      <c r="X16" s="16">
        <f t="shared" si="10"/>
        <v>1.73053632889</v>
      </c>
      <c r="Y16" s="13">
        <f t="shared" si="10"/>
        <v>1.4059219278299999</v>
      </c>
      <c r="Z16" s="14">
        <f>Z17+Z18</f>
        <v>1.43495553157</v>
      </c>
      <c r="AA16" s="14">
        <f>AA17+AA18</f>
        <v>1.26341617049</v>
      </c>
      <c r="AB16" s="16">
        <f>AB17+AB18</f>
        <v>1.19372869374</v>
      </c>
      <c r="AC16" s="14">
        <f t="shared" ref="AC16:AQ16" si="11">AC17+AC18</f>
        <v>0.91588731587000005</v>
      </c>
      <c r="AD16" s="14">
        <f t="shared" si="11"/>
        <v>1.0040737207399999</v>
      </c>
      <c r="AE16" s="14">
        <f t="shared" si="11"/>
        <v>0.75505199669</v>
      </c>
      <c r="AF16" s="14">
        <f t="shared" si="11"/>
        <v>0.77428115839</v>
      </c>
      <c r="AG16" s="14">
        <f t="shared" si="11"/>
        <v>0.49902485523000001</v>
      </c>
      <c r="AH16" s="14">
        <f t="shared" si="11"/>
        <v>0.51519301168999998</v>
      </c>
      <c r="AI16" s="14">
        <f t="shared" si="11"/>
        <v>0.27161751781999999</v>
      </c>
      <c r="AJ16" s="14">
        <f t="shared" si="11"/>
        <v>0.27299181893000002</v>
      </c>
      <c r="AK16" s="14">
        <f t="shared" si="11"/>
        <v>0</v>
      </c>
      <c r="AL16" s="14">
        <f t="shared" si="11"/>
        <v>0</v>
      </c>
      <c r="AM16" s="14">
        <f t="shared" si="11"/>
        <v>0</v>
      </c>
      <c r="AN16" s="14">
        <f t="shared" si="11"/>
        <v>0</v>
      </c>
      <c r="AO16" s="14">
        <f t="shared" si="11"/>
        <v>0</v>
      </c>
      <c r="AP16" s="14">
        <f t="shared" si="11"/>
        <v>0</v>
      </c>
      <c r="AQ16" s="14">
        <f t="shared" si="11"/>
        <v>0</v>
      </c>
      <c r="AR16" s="14">
        <f>AR17+AR18</f>
        <v>0</v>
      </c>
      <c r="AS16" s="17">
        <f>AS17+AS18</f>
        <v>0</v>
      </c>
      <c r="AT16" s="17">
        <f>AT17+AT18</f>
        <v>0</v>
      </c>
      <c r="AU16" s="17">
        <f>AU17+AU18</f>
        <v>0</v>
      </c>
      <c r="AV16" s="17">
        <f>AV17+AV18</f>
        <v>0</v>
      </c>
      <c r="AW16" s="17">
        <f t="shared" ref="AW16:AZ16" si="12">AW17+AW18</f>
        <v>0</v>
      </c>
      <c r="AX16" s="17">
        <f t="shared" si="12"/>
        <v>0</v>
      </c>
      <c r="AY16" s="17">
        <f t="shared" si="12"/>
        <v>0</v>
      </c>
      <c r="AZ16" s="17">
        <f t="shared" si="12"/>
        <v>0</v>
      </c>
    </row>
    <row r="17" spans="1:52" ht="16.5">
      <c r="A17" s="2"/>
      <c r="B17" s="2"/>
      <c r="C17" s="2" t="s">
        <v>10</v>
      </c>
      <c r="D17" s="2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35">
        <v>0</v>
      </c>
      <c r="T17" s="35">
        <v>0</v>
      </c>
      <c r="U17" s="22">
        <v>0</v>
      </c>
      <c r="V17" s="22">
        <v>0</v>
      </c>
      <c r="W17" s="22">
        <v>0</v>
      </c>
      <c r="X17" s="35">
        <v>0</v>
      </c>
      <c r="Y17" s="22">
        <v>0</v>
      </c>
      <c r="Z17" s="22">
        <v>0</v>
      </c>
      <c r="AA17" s="22">
        <v>0</v>
      </c>
      <c r="AB17" s="35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36">
        <v>0</v>
      </c>
      <c r="AQ17" s="36">
        <v>0</v>
      </c>
      <c r="AR17" s="22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</row>
    <row r="18" spans="1:52" ht="16.5">
      <c r="A18" s="2"/>
      <c r="B18" s="2"/>
      <c r="C18" s="2" t="s">
        <v>11</v>
      </c>
      <c r="D18" s="2"/>
      <c r="E18" s="3">
        <v>58.320999999999998</v>
      </c>
      <c r="F18" s="3">
        <v>55.966414</v>
      </c>
      <c r="G18" s="3">
        <v>52.988999999999997</v>
      </c>
      <c r="H18" s="3">
        <v>48.489862000000002</v>
      </c>
      <c r="I18" s="3">
        <v>43.983584999999998</v>
      </c>
      <c r="J18" s="3">
        <v>43.486755000000002</v>
      </c>
      <c r="K18" s="3">
        <v>42.825612999999997</v>
      </c>
      <c r="L18" s="19">
        <v>39.049985199959998</v>
      </c>
      <c r="M18" s="3">
        <v>37.440557525659997</v>
      </c>
      <c r="N18" s="3">
        <v>15.72078215546</v>
      </c>
      <c r="O18" s="3">
        <v>14.551884927210001</v>
      </c>
      <c r="P18" s="3">
        <v>7.5809125188099999</v>
      </c>
      <c r="Q18" s="3">
        <v>7.2765226069700004</v>
      </c>
      <c r="R18" s="3">
        <v>1.8644636211000001</v>
      </c>
      <c r="S18" s="19">
        <v>1.75864765179</v>
      </c>
      <c r="T18" s="19">
        <v>1.64277736526</v>
      </c>
      <c r="U18" s="3">
        <v>1.65308000728</v>
      </c>
      <c r="V18" s="3">
        <v>1.6438414483699999</v>
      </c>
      <c r="W18" s="3">
        <v>1.5232991545900001</v>
      </c>
      <c r="X18" s="19">
        <v>1.73053632889</v>
      </c>
      <c r="Y18" s="3">
        <v>1.4059219278299999</v>
      </c>
      <c r="Z18" s="3">
        <v>1.43495553157</v>
      </c>
      <c r="AA18" s="3">
        <v>1.26341617049</v>
      </c>
      <c r="AB18" s="19">
        <v>1.19372869374</v>
      </c>
      <c r="AC18" s="3">
        <v>0.91588731587000005</v>
      </c>
      <c r="AD18" s="3">
        <v>1.0040737207399999</v>
      </c>
      <c r="AE18" s="3">
        <v>0.75505199669</v>
      </c>
      <c r="AF18" s="3">
        <v>0.77428115839</v>
      </c>
      <c r="AG18" s="3">
        <v>0.49902485523000001</v>
      </c>
      <c r="AH18" s="3">
        <v>0.51519301168999998</v>
      </c>
      <c r="AI18" s="3">
        <v>0.27161751781999999</v>
      </c>
      <c r="AJ18" s="3">
        <v>0.27299181893000002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20">
        <v>0</v>
      </c>
      <c r="AQ18" s="20">
        <v>0</v>
      </c>
      <c r="AR18" s="3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</row>
    <row r="19" spans="1:52" ht="16.5">
      <c r="A19" s="2"/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2"/>
      <c r="AC19" s="2"/>
      <c r="AD19" s="2"/>
      <c r="AE19" s="2"/>
      <c r="AF19" s="2"/>
      <c r="AG19" s="2"/>
      <c r="AH19" s="2"/>
      <c r="AI19" s="2"/>
      <c r="AJ19" s="2"/>
      <c r="AK19" s="38"/>
      <c r="AL19" s="4"/>
      <c r="AM19" s="4"/>
      <c r="AN19" s="4"/>
      <c r="AO19" s="38"/>
      <c r="AP19" s="20"/>
      <c r="AQ19" s="20"/>
      <c r="AR19" s="3"/>
      <c r="AS19" s="4"/>
    </row>
    <row r="20" spans="1:52" ht="16.5">
      <c r="A20" s="39" t="s">
        <v>17</v>
      </c>
      <c r="B20" s="40" t="s">
        <v>89</v>
      </c>
      <c r="C20" s="40"/>
      <c r="D20" s="40"/>
      <c r="E20" s="15">
        <f t="shared" ref="E20:AQ20" si="13">E21+E22</f>
        <v>32.58291979234</v>
      </c>
      <c r="F20" s="15">
        <f t="shared" si="13"/>
        <v>35.689560780880001</v>
      </c>
      <c r="G20" s="15">
        <f t="shared" si="13"/>
        <v>43.839409733869999</v>
      </c>
      <c r="H20" s="15">
        <f t="shared" si="13"/>
        <v>7.1</v>
      </c>
      <c r="I20" s="15">
        <f t="shared" si="13"/>
        <v>7.5110000000000001</v>
      </c>
      <c r="J20" s="15">
        <f t="shared" si="13"/>
        <v>11.41611193999</v>
      </c>
      <c r="K20" s="15">
        <f t="shared" si="13"/>
        <v>13.62084929884</v>
      </c>
      <c r="L20" s="15">
        <f t="shared" si="13"/>
        <v>0</v>
      </c>
      <c r="M20" s="15">
        <f t="shared" si="13"/>
        <v>0</v>
      </c>
      <c r="N20" s="15">
        <f t="shared" si="13"/>
        <v>0</v>
      </c>
      <c r="O20" s="15">
        <f t="shared" si="13"/>
        <v>0</v>
      </c>
      <c r="P20" s="15">
        <f t="shared" si="13"/>
        <v>0</v>
      </c>
      <c r="Q20" s="15">
        <f t="shared" si="13"/>
        <v>0</v>
      </c>
      <c r="R20" s="15">
        <f t="shared" si="13"/>
        <v>0</v>
      </c>
      <c r="S20" s="15">
        <f t="shared" si="13"/>
        <v>0</v>
      </c>
      <c r="T20" s="15">
        <f t="shared" si="13"/>
        <v>0</v>
      </c>
      <c r="U20" s="15">
        <f t="shared" si="13"/>
        <v>0</v>
      </c>
      <c r="V20" s="15">
        <f t="shared" si="13"/>
        <v>0</v>
      </c>
      <c r="W20" s="15">
        <f t="shared" si="13"/>
        <v>0</v>
      </c>
      <c r="X20" s="15">
        <f t="shared" si="13"/>
        <v>0</v>
      </c>
      <c r="Y20" s="15">
        <f t="shared" si="13"/>
        <v>0</v>
      </c>
      <c r="Z20" s="15">
        <f t="shared" si="13"/>
        <v>0</v>
      </c>
      <c r="AA20" s="15">
        <f t="shared" si="13"/>
        <v>0</v>
      </c>
      <c r="AB20" s="15">
        <f t="shared" si="13"/>
        <v>0</v>
      </c>
      <c r="AC20" s="15">
        <f t="shared" si="13"/>
        <v>0</v>
      </c>
      <c r="AD20" s="15">
        <f t="shared" si="13"/>
        <v>0</v>
      </c>
      <c r="AE20" s="15">
        <f t="shared" si="13"/>
        <v>0</v>
      </c>
      <c r="AF20" s="15">
        <f t="shared" si="13"/>
        <v>0</v>
      </c>
      <c r="AG20" s="16">
        <f t="shared" si="13"/>
        <v>0</v>
      </c>
      <c r="AH20" s="16">
        <f t="shared" si="13"/>
        <v>0</v>
      </c>
      <c r="AI20" s="16">
        <f t="shared" si="13"/>
        <v>0</v>
      </c>
      <c r="AJ20" s="16">
        <f t="shared" si="13"/>
        <v>0</v>
      </c>
      <c r="AK20" s="16">
        <f t="shared" si="13"/>
        <v>0</v>
      </c>
      <c r="AL20" s="16">
        <f t="shared" si="13"/>
        <v>0</v>
      </c>
      <c r="AM20" s="16">
        <f t="shared" si="13"/>
        <v>0</v>
      </c>
      <c r="AN20" s="16">
        <f t="shared" si="13"/>
        <v>0</v>
      </c>
      <c r="AO20" s="16">
        <f t="shared" si="13"/>
        <v>0</v>
      </c>
      <c r="AP20" s="16">
        <f t="shared" si="13"/>
        <v>0</v>
      </c>
      <c r="AQ20" s="16">
        <f t="shared" si="13"/>
        <v>0</v>
      </c>
      <c r="AR20" s="16">
        <f>AR21+AR22</f>
        <v>0</v>
      </c>
      <c r="AS20" s="16">
        <f t="shared" ref="AS20:AZ20" si="14">AS21+AS22</f>
        <v>0</v>
      </c>
      <c r="AT20" s="16">
        <f t="shared" si="14"/>
        <v>0</v>
      </c>
      <c r="AU20" s="16">
        <f t="shared" si="14"/>
        <v>0</v>
      </c>
      <c r="AV20" s="16">
        <f t="shared" si="14"/>
        <v>0</v>
      </c>
      <c r="AW20" s="16">
        <f t="shared" si="14"/>
        <v>0</v>
      </c>
      <c r="AX20" s="16">
        <f t="shared" si="14"/>
        <v>0</v>
      </c>
      <c r="AY20" s="16">
        <f t="shared" si="14"/>
        <v>0</v>
      </c>
      <c r="AZ20" s="16">
        <f t="shared" si="14"/>
        <v>0</v>
      </c>
    </row>
    <row r="21" spans="1:52" ht="16.5">
      <c r="A21" s="41"/>
      <c r="B21" s="41"/>
      <c r="C21" s="41" t="s">
        <v>10</v>
      </c>
      <c r="D21" s="41"/>
      <c r="E21" s="19">
        <f>[1]SSIs!C11</f>
        <v>32.58291979234</v>
      </c>
      <c r="F21" s="19">
        <f>[1]SSIs!D11</f>
        <v>35.689560780880001</v>
      </c>
      <c r="G21" s="19">
        <f>[1]SSIs!E11</f>
        <v>43.839409733869999</v>
      </c>
      <c r="H21" s="19">
        <v>7.1</v>
      </c>
      <c r="I21" s="19">
        <f>[1]SSIs!G11</f>
        <v>7.5110000000000001</v>
      </c>
      <c r="J21" s="19">
        <f>[1]SSIs!H11</f>
        <v>11.41611193999</v>
      </c>
      <c r="K21" s="19">
        <f>[1]SSIs!I11</f>
        <v>13.62084929884</v>
      </c>
      <c r="L21" s="19">
        <f>[1]SSIs!J11</f>
        <v>0</v>
      </c>
      <c r="M21" s="42">
        <v>0</v>
      </c>
      <c r="N21" s="43">
        <v>0</v>
      </c>
      <c r="O21" s="43">
        <v>0</v>
      </c>
      <c r="P21" s="43">
        <v>0</v>
      </c>
      <c r="Q21" s="42">
        <v>0</v>
      </c>
      <c r="R21" s="43">
        <v>0</v>
      </c>
      <c r="S21" s="43">
        <v>0</v>
      </c>
      <c r="T21" s="43">
        <v>0</v>
      </c>
      <c r="U21" s="19">
        <v>0</v>
      </c>
      <c r="V21" s="19">
        <v>0</v>
      </c>
      <c r="W21" s="19">
        <v>0</v>
      </c>
      <c r="X21" s="19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4">
        <v>0</v>
      </c>
      <c r="AQ21" s="44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</row>
    <row r="22" spans="1:52" ht="16.5">
      <c r="A22" s="41"/>
      <c r="B22" s="41"/>
      <c r="C22" s="41" t="s">
        <v>11</v>
      </c>
      <c r="D22" s="41"/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42">
        <v>0</v>
      </c>
      <c r="N22" s="35">
        <v>0</v>
      </c>
      <c r="O22" s="35">
        <v>0</v>
      </c>
      <c r="P22" s="35">
        <v>0</v>
      </c>
      <c r="Q22" s="42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4">
        <v>0</v>
      </c>
      <c r="AQ22" s="44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</row>
    <row r="23" spans="1:52" ht="16.5">
      <c r="A23" s="2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2"/>
      <c r="N23" s="2"/>
      <c r="O23" s="2"/>
      <c r="P23" s="2"/>
      <c r="Q23" s="45"/>
      <c r="R23" s="2"/>
      <c r="S23" s="2"/>
      <c r="T23" s="2"/>
      <c r="U23" s="3"/>
      <c r="V23" s="3"/>
      <c r="W23" s="3"/>
      <c r="X23" s="3"/>
      <c r="Y23" s="3"/>
      <c r="Z23" s="3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4"/>
      <c r="AL23" s="4"/>
      <c r="AM23" s="4"/>
      <c r="AN23" s="4"/>
      <c r="AO23" s="3"/>
      <c r="AP23" s="4"/>
      <c r="AQ23" s="4"/>
      <c r="AR23" s="3"/>
      <c r="AS23" s="4"/>
    </row>
    <row r="24" spans="1:52" ht="16.5">
      <c r="A24" s="11" t="s">
        <v>18</v>
      </c>
      <c r="B24" s="12" t="s">
        <v>91</v>
      </c>
      <c r="C24" s="12"/>
      <c r="D24" s="12"/>
      <c r="E24" s="13">
        <f t="shared" ref="E24:K24" si="15">E25+E26</f>
        <v>45.26</v>
      </c>
      <c r="F24" s="13">
        <f t="shared" si="15"/>
        <v>46.542000000000002</v>
      </c>
      <c r="G24" s="13">
        <f t="shared" si="15"/>
        <v>48.464000000000006</v>
      </c>
      <c r="H24" s="13">
        <f t="shared" si="15"/>
        <v>49.184640000000002</v>
      </c>
      <c r="I24" s="13">
        <f t="shared" si="15"/>
        <v>50.967063999999993</v>
      </c>
      <c r="J24" s="13">
        <f t="shared" si="15"/>
        <v>52.728439999999999</v>
      </c>
      <c r="K24" s="13">
        <f t="shared" si="15"/>
        <v>54.238081000000001</v>
      </c>
      <c r="L24" s="13">
        <f>L25+L26</f>
        <v>55.040220499690001</v>
      </c>
      <c r="M24" s="13">
        <f>M25+M26</f>
        <v>56.61639291641</v>
      </c>
      <c r="N24" s="13">
        <f>N25+N26</f>
        <v>53.15790953023</v>
      </c>
      <c r="O24" s="13">
        <f>O25+O26</f>
        <v>60.148659626040001</v>
      </c>
      <c r="P24" s="13">
        <f>P25+P26</f>
        <v>63.668317573550006</v>
      </c>
      <c r="Q24" s="14">
        <f t="shared" ref="Q24:W24" si="16">Q25+Q26</f>
        <v>67.566497434659993</v>
      </c>
      <c r="R24" s="14">
        <f t="shared" si="16"/>
        <v>38.716996058179994</v>
      </c>
      <c r="S24" s="15">
        <f t="shared" si="16"/>
        <v>44.52886136683</v>
      </c>
      <c r="T24" s="16">
        <f t="shared" si="16"/>
        <v>43.552410201179995</v>
      </c>
      <c r="U24" s="13">
        <f t="shared" si="16"/>
        <v>44.596551798409998</v>
      </c>
      <c r="V24" s="13">
        <f t="shared" si="16"/>
        <v>45.071510415539997</v>
      </c>
      <c r="W24" s="13">
        <f t="shared" si="16"/>
        <v>48.04695154553</v>
      </c>
      <c r="X24" s="16">
        <f>X25+X26</f>
        <v>51.931769746279997</v>
      </c>
      <c r="Y24" s="13">
        <f>Y25+Y26</f>
        <v>61.7376957006</v>
      </c>
      <c r="Z24" s="14">
        <f>Z25+Z26</f>
        <v>52.461990918689999</v>
      </c>
      <c r="AA24" s="14">
        <f>AA25+AA26</f>
        <v>55.334894328380003</v>
      </c>
      <c r="AB24" s="16">
        <f>AB25+AB26</f>
        <v>58.154281975339998</v>
      </c>
      <c r="AC24" s="14">
        <f t="shared" ref="AC24:AP24" si="17">AC25+AC26</f>
        <v>62.395280341689997</v>
      </c>
      <c r="AD24" s="14">
        <f t="shared" si="17"/>
        <v>66.40364324798</v>
      </c>
      <c r="AE24" s="14">
        <f t="shared" si="17"/>
        <v>68.016462847389988</v>
      </c>
      <c r="AF24" s="14">
        <f t="shared" si="17"/>
        <v>69.025210030059995</v>
      </c>
      <c r="AG24" s="14">
        <f t="shared" si="17"/>
        <v>69.059701686769998</v>
      </c>
      <c r="AH24" s="14">
        <f t="shared" si="17"/>
        <v>66.0364373986</v>
      </c>
      <c r="AI24" s="14">
        <f t="shared" si="17"/>
        <v>66.487394233509988</v>
      </c>
      <c r="AJ24" s="14">
        <f t="shared" si="17"/>
        <v>70.444213006699997</v>
      </c>
      <c r="AK24" s="14">
        <f t="shared" si="17"/>
        <v>70.669299359350006</v>
      </c>
      <c r="AL24" s="14">
        <f t="shared" si="17"/>
        <v>70.943195554595007</v>
      </c>
      <c r="AM24" s="14">
        <f t="shared" si="17"/>
        <v>71.250023620549996</v>
      </c>
      <c r="AN24" s="14">
        <f t="shared" si="17"/>
        <v>73.355976023859995</v>
      </c>
      <c r="AO24" s="14">
        <f t="shared" si="17"/>
        <v>70.805403217049999</v>
      </c>
      <c r="AP24" s="14">
        <f t="shared" si="17"/>
        <v>71.013861662780002</v>
      </c>
      <c r="AQ24" s="14">
        <f t="shared" ref="AQ24:AZ24" si="18">AQ25+AQ26</f>
        <v>70.654560760479995</v>
      </c>
      <c r="AR24" s="14">
        <f t="shared" si="18"/>
        <v>71.309035016370004</v>
      </c>
      <c r="AS24" s="14">
        <f t="shared" si="18"/>
        <v>69.341810942569992</v>
      </c>
      <c r="AT24" s="17">
        <f t="shared" si="18"/>
        <v>69.660109401599996</v>
      </c>
      <c r="AU24" s="17">
        <f t="shared" si="18"/>
        <v>68.483771853000007</v>
      </c>
      <c r="AV24" s="17">
        <f t="shared" si="18"/>
        <v>68.516628068339998</v>
      </c>
      <c r="AW24" s="17">
        <f t="shared" si="18"/>
        <v>67.740219636730004</v>
      </c>
      <c r="AX24" s="17">
        <f t="shared" si="18"/>
        <v>67.544014863740003</v>
      </c>
      <c r="AY24" s="17">
        <f t="shared" si="18"/>
        <v>69.422874442280005</v>
      </c>
      <c r="AZ24" s="17">
        <f t="shared" si="18"/>
        <v>0</v>
      </c>
    </row>
    <row r="25" spans="1:52" ht="16.5">
      <c r="A25" s="2"/>
      <c r="B25" s="2"/>
      <c r="C25" s="2" t="s">
        <v>10</v>
      </c>
      <c r="D25" s="2"/>
      <c r="E25" s="3">
        <f>44.617+0.643</f>
        <v>45.26</v>
      </c>
      <c r="F25" s="3">
        <f>45.673+0.869</f>
        <v>46.542000000000002</v>
      </c>
      <c r="G25" s="3">
        <f>47.581+0.883</f>
        <v>48.464000000000006</v>
      </c>
      <c r="H25" s="3">
        <f>48.07764+1.107</f>
        <v>49.184640000000002</v>
      </c>
      <c r="I25" s="3">
        <f>49.368064+1.599</f>
        <v>50.967063999999993</v>
      </c>
      <c r="J25" s="3">
        <f>50.89544+1.833</f>
        <v>52.728439999999999</v>
      </c>
      <c r="K25" s="3">
        <f>52.372081+1.866</f>
        <v>54.238081000000001</v>
      </c>
      <c r="L25" s="19">
        <f>53.49050739572+1.54971310397</f>
        <v>55.040220499690001</v>
      </c>
      <c r="M25" s="3">
        <f>55.06440389141+1.551989025</f>
        <v>56.61639291641</v>
      </c>
      <c r="N25" s="3">
        <f>51.23067048023+1.92723905</f>
        <v>53.15790953023</v>
      </c>
      <c r="O25" s="3">
        <f>58.13495250535+2.01370712069</f>
        <v>60.148659626040001</v>
      </c>
      <c r="P25" s="3">
        <f>61.61836045286+2.04995712069</f>
        <v>63.668317573550006</v>
      </c>
      <c r="Q25" s="3">
        <f>65.33407951996+2.2324179147</f>
        <v>67.566497434659993</v>
      </c>
      <c r="R25" s="3">
        <f>37.90994605818+0.80705</f>
        <v>38.716996058179994</v>
      </c>
      <c r="S25" s="19">
        <f>43.77901136683+0.74985</f>
        <v>44.52886136683</v>
      </c>
      <c r="T25" s="19">
        <f>42.84081020118+0.7116</f>
        <v>43.552410201179995</v>
      </c>
      <c r="U25" s="3">
        <f>43.94265179841+0.6539</f>
        <v>44.596551798409998</v>
      </c>
      <c r="V25" s="3">
        <f>44.41761041554+0.6539</f>
        <v>45.071510415539997</v>
      </c>
      <c r="W25" s="3">
        <f>47.47775154553+0.5692</f>
        <v>48.04695154553</v>
      </c>
      <c r="X25" s="19">
        <f>51.36606974628+0.5657</f>
        <v>51.931769746279997</v>
      </c>
      <c r="Y25" s="3">
        <f>61.2516957006+0.486</f>
        <v>61.7376957006</v>
      </c>
      <c r="Z25" s="3">
        <f>51.92249091869+0.5395</f>
        <v>52.461990918689999</v>
      </c>
      <c r="AA25" s="3">
        <f>54.86909432838+0.4658</f>
        <v>55.334894328380003</v>
      </c>
      <c r="AB25" s="19">
        <f>57.52335197534+0.63093</f>
        <v>58.154281975339998</v>
      </c>
      <c r="AC25" s="3">
        <f>61.76158034169+0.6337</f>
        <v>62.395280341689997</v>
      </c>
      <c r="AD25" s="3">
        <f>65.51874324798+0.8849</f>
        <v>66.40364324798</v>
      </c>
      <c r="AE25" s="3">
        <f>67.23026284739+0.7862</f>
        <v>68.016462847389988</v>
      </c>
      <c r="AF25" s="3">
        <f>68.23901003006+0.7862</f>
        <v>69.025210030059995</v>
      </c>
      <c r="AG25" s="3">
        <f>68.35350168677+0.7062</f>
        <v>69.059701686769998</v>
      </c>
      <c r="AH25" s="3">
        <f>65.3452373986+0.6912</f>
        <v>66.0364373986</v>
      </c>
      <c r="AI25" s="3">
        <f>65.79619423351+0.6912</f>
        <v>66.487394233509988</v>
      </c>
      <c r="AJ25" s="3">
        <f>69.8986730067+0.54554</f>
        <v>70.444213006699997</v>
      </c>
      <c r="AK25" s="3">
        <f>70.12375935935+0.54554</f>
        <v>70.669299359350006</v>
      </c>
      <c r="AL25" s="3">
        <f>70.402655554595+0.54054</f>
        <v>70.943195554595007</v>
      </c>
      <c r="AM25" s="3">
        <f>70.70948362055+0.54054</f>
        <v>71.250023620549996</v>
      </c>
      <c r="AN25" s="3">
        <f>72.82043602386+0.53554</f>
        <v>73.355976023859995</v>
      </c>
      <c r="AO25" s="3">
        <f>70.31700321705+0.4884</f>
        <v>70.805403217049999</v>
      </c>
      <c r="AP25" s="20">
        <f>70.52546166278+0.4884</f>
        <v>71.013861662780002</v>
      </c>
      <c r="AQ25" s="20">
        <f>70.16616076048+0.4884</f>
        <v>70.654560760479995</v>
      </c>
      <c r="AR25" s="3">
        <f>70.88694501637+0.42209</f>
        <v>71.309035016370004</v>
      </c>
      <c r="AS25" s="3">
        <f>68.91972094257+0.42209</f>
        <v>69.341810942569992</v>
      </c>
      <c r="AT25" s="21">
        <f>69.2380194016+0.42209</f>
        <v>69.660109401599996</v>
      </c>
      <c r="AU25" s="21">
        <f>68.071681853+0.41209</f>
        <v>68.483771853000007</v>
      </c>
      <c r="AV25" s="21">
        <f>68.11453806834+0.40209</f>
        <v>68.516628068339998</v>
      </c>
      <c r="AW25" s="3">
        <f>67.33812963673+0.40209</f>
        <v>67.740219636730004</v>
      </c>
      <c r="AX25" s="3">
        <f>67.24631486374+0.2977</f>
        <v>67.544014863740003</v>
      </c>
      <c r="AY25" s="3">
        <f>69.12517444228+0.2977</f>
        <v>69.422874442280005</v>
      </c>
    </row>
    <row r="26" spans="1:52" ht="16.5">
      <c r="A26" s="2"/>
      <c r="B26" s="2"/>
      <c r="C26" s="2" t="s">
        <v>11</v>
      </c>
      <c r="D26" s="2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35">
        <v>0</v>
      </c>
      <c r="T26" s="35">
        <v>0</v>
      </c>
      <c r="U26" s="22">
        <v>0</v>
      </c>
      <c r="V26" s="22">
        <v>0</v>
      </c>
      <c r="W26" s="22">
        <v>0</v>
      </c>
      <c r="X26" s="35">
        <v>0</v>
      </c>
      <c r="Y26" s="22">
        <v>0</v>
      </c>
      <c r="Z26" s="22">
        <v>0</v>
      </c>
      <c r="AA26" s="22">
        <v>0</v>
      </c>
      <c r="AB26" s="35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36">
        <v>0</v>
      </c>
      <c r="AQ26" s="36">
        <v>0</v>
      </c>
      <c r="AR26" s="22">
        <v>0</v>
      </c>
      <c r="AS26" s="22">
        <v>0</v>
      </c>
      <c r="AT26" s="37">
        <v>0</v>
      </c>
      <c r="AU26" s="37">
        <v>0</v>
      </c>
      <c r="AV26" s="37">
        <v>0</v>
      </c>
      <c r="AW26" s="3">
        <v>0</v>
      </c>
      <c r="AX26" s="37">
        <v>0</v>
      </c>
      <c r="AY26" s="37">
        <v>0</v>
      </c>
      <c r="AZ26" s="37">
        <v>0</v>
      </c>
    </row>
    <row r="27" spans="1:52" ht="16.5">
      <c r="A27" s="2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3"/>
      <c r="V27" s="3"/>
      <c r="W27" s="3"/>
      <c r="X27" s="3"/>
      <c r="Y27" s="3"/>
      <c r="Z27" s="3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4"/>
      <c r="AL27" s="4"/>
      <c r="AM27" s="4"/>
      <c r="AN27" s="4"/>
      <c r="AO27" s="38"/>
      <c r="AP27" s="4"/>
      <c r="AQ27" s="4"/>
      <c r="AR27" s="4"/>
      <c r="AS27" s="4"/>
    </row>
    <row r="28" spans="1:52" ht="16.5">
      <c r="A28" s="11" t="s">
        <v>19</v>
      </c>
      <c r="B28" s="12" t="s">
        <v>20</v>
      </c>
      <c r="C28" s="12"/>
      <c r="D28" s="12"/>
      <c r="E28" s="13">
        <f t="shared" ref="E28:AV28" si="19">E29+E30</f>
        <v>3307.18879979234</v>
      </c>
      <c r="F28" s="13">
        <f t="shared" si="19"/>
        <v>3322.5311047808796</v>
      </c>
      <c r="G28" s="13">
        <f t="shared" si="19"/>
        <v>3484.9713897338702</v>
      </c>
      <c r="H28" s="13">
        <f t="shared" si="19"/>
        <v>3501.8582820000001</v>
      </c>
      <c r="I28" s="13">
        <f t="shared" si="19"/>
        <v>3543.0987290000003</v>
      </c>
      <c r="J28" s="13">
        <f t="shared" si="19"/>
        <v>3593.5550969399901</v>
      </c>
      <c r="K28" s="13">
        <f t="shared" si="19"/>
        <v>3694.9704032988402</v>
      </c>
      <c r="L28" s="13">
        <f t="shared" si="19"/>
        <v>3514.7954856996503</v>
      </c>
      <c r="M28" s="13">
        <f t="shared" si="19"/>
        <v>3567.6186304420698</v>
      </c>
      <c r="N28" s="13">
        <f t="shared" si="19"/>
        <v>3550.1930816856902</v>
      </c>
      <c r="O28" s="13">
        <f t="shared" si="19"/>
        <v>3479.4185345532496</v>
      </c>
      <c r="P28" s="13">
        <f t="shared" si="19"/>
        <v>3411.4246900923599</v>
      </c>
      <c r="Q28" s="13">
        <f t="shared" si="19"/>
        <v>3453.8023900416301</v>
      </c>
      <c r="R28" s="13">
        <f t="shared" si="19"/>
        <v>3260.0162596792798</v>
      </c>
      <c r="S28" s="13">
        <f t="shared" si="19"/>
        <v>3329.7974190186196</v>
      </c>
      <c r="T28" s="13">
        <f t="shared" si="19"/>
        <v>3223.3257675664399</v>
      </c>
      <c r="U28" s="13">
        <f t="shared" si="19"/>
        <v>3300.1719118056899</v>
      </c>
      <c r="V28" s="13">
        <f t="shared" si="19"/>
        <v>3398.4740518639101</v>
      </c>
      <c r="W28" s="13">
        <f t="shared" si="19"/>
        <v>3526.5757307001204</v>
      </c>
      <c r="X28" s="13">
        <f t="shared" si="19"/>
        <v>3658.7924460751697</v>
      </c>
      <c r="Y28" s="13">
        <f t="shared" si="19"/>
        <v>3686.4392076284294</v>
      </c>
      <c r="Z28" s="13">
        <f t="shared" si="19"/>
        <v>3676.5491864502601</v>
      </c>
      <c r="AA28" s="13">
        <f t="shared" si="19"/>
        <v>3773.8923304988703</v>
      </c>
      <c r="AB28" s="13">
        <f t="shared" si="19"/>
        <v>3836.17669066908</v>
      </c>
      <c r="AC28" s="13">
        <f t="shared" si="19"/>
        <v>3828.2294376575601</v>
      </c>
      <c r="AD28" s="13">
        <f t="shared" si="19"/>
        <v>3973.2760869687199</v>
      </c>
      <c r="AE28" s="13">
        <f t="shared" si="19"/>
        <v>4089.2974048440801</v>
      </c>
      <c r="AF28" s="13">
        <f t="shared" si="19"/>
        <v>4114.4323711884499</v>
      </c>
      <c r="AG28" s="13">
        <f t="shared" si="19"/>
        <v>4321.1276242161603</v>
      </c>
      <c r="AH28" s="13">
        <f t="shared" si="19"/>
        <v>4416.9212971474499</v>
      </c>
      <c r="AI28" s="13">
        <f t="shared" si="19"/>
        <v>4501.5485208822502</v>
      </c>
      <c r="AJ28" s="13">
        <f t="shared" si="19"/>
        <v>4433.1979390903907</v>
      </c>
      <c r="AK28" s="13">
        <f t="shared" si="19"/>
        <v>4630.6018776241099</v>
      </c>
      <c r="AL28" s="13">
        <f t="shared" si="19"/>
        <v>4591.9840031023559</v>
      </c>
      <c r="AM28" s="13">
        <f t="shared" si="19"/>
        <v>4591.0732583553099</v>
      </c>
      <c r="AN28" s="13">
        <f t="shared" si="19"/>
        <v>4745.5429207586203</v>
      </c>
      <c r="AO28" s="13">
        <f t="shared" si="19"/>
        <v>4609.7170212868095</v>
      </c>
      <c r="AP28" s="13">
        <f t="shared" si="19"/>
        <v>4766.1208416627796</v>
      </c>
      <c r="AQ28" s="13">
        <f t="shared" si="19"/>
        <v>4933.2095607604806</v>
      </c>
      <c r="AR28" s="13">
        <f t="shared" si="19"/>
        <v>5004.5166450163706</v>
      </c>
      <c r="AS28" s="13">
        <f t="shared" si="19"/>
        <v>4971.49551094257</v>
      </c>
      <c r="AT28" s="13">
        <f t="shared" si="19"/>
        <v>4986.9233594015996</v>
      </c>
      <c r="AU28" s="13">
        <f t="shared" si="19"/>
        <v>5072.6249203807592</v>
      </c>
      <c r="AV28" s="13">
        <f t="shared" si="19"/>
        <v>5091.7863980683396</v>
      </c>
      <c r="AW28" s="13">
        <f t="shared" ref="AW28:AZ28" si="20">AW29+AW30</f>
        <v>5135.5785199687307</v>
      </c>
      <c r="AX28" s="13">
        <f t="shared" si="20"/>
        <v>5178.0294198355004</v>
      </c>
      <c r="AY28" s="13">
        <f t="shared" si="20"/>
        <v>5311.61200655229</v>
      </c>
      <c r="AZ28" s="13">
        <f t="shared" si="20"/>
        <v>0</v>
      </c>
    </row>
    <row r="29" spans="1:52" ht="16.5">
      <c r="A29" s="2"/>
      <c r="B29" s="2"/>
      <c r="C29" s="2" t="s">
        <v>10</v>
      </c>
      <c r="D29" s="2"/>
      <c r="E29" s="22">
        <f t="shared" ref="E29:F29" si="21">E13+SUM(E17)+SUM(E21)+SUM(E25)</f>
        <v>1549.6086697923399</v>
      </c>
      <c r="F29" s="22">
        <f t="shared" si="21"/>
        <v>1566.2100107808797</v>
      </c>
      <c r="G29" s="22">
        <f t="shared" ref="G29:G30" si="22">G13+SUM(G17)+SUM(G21)+SUM(G25)</f>
        <v>1666.83734973387</v>
      </c>
      <c r="H29" s="22">
        <f>H13+H17+H21+H25</f>
        <v>1645.73747</v>
      </c>
      <c r="I29" s="22">
        <f t="shared" ref="I29:J30" si="23">I13+SUM(I17)+SUM(I21)+SUM(I25)</f>
        <v>1692.6491639999999</v>
      </c>
      <c r="J29" s="22">
        <f t="shared" si="23"/>
        <v>1697.2397719399901</v>
      </c>
      <c r="K29" s="22">
        <f t="shared" ref="K29:L30" si="24">K13+SUM(K17)+SUM(K21)+SUM(K25)</f>
        <v>1781.79589029884</v>
      </c>
      <c r="L29" s="22">
        <f t="shared" si="24"/>
        <v>1755.6954804996899</v>
      </c>
      <c r="M29" s="22">
        <f t="shared" ref="M29:AV30" si="25">M13+SUM(M17)+SUM(M21)+SUM(M25)</f>
        <v>1761.8658929164098</v>
      </c>
      <c r="N29" s="22">
        <f t="shared" si="25"/>
        <v>1701.3753695302303</v>
      </c>
      <c r="O29" s="22">
        <f t="shared" si="25"/>
        <v>1704.80145962604</v>
      </c>
      <c r="P29" s="22">
        <f t="shared" si="25"/>
        <v>1710.2480675735499</v>
      </c>
      <c r="Q29" s="22">
        <f t="shared" si="25"/>
        <v>1696.88524743466</v>
      </c>
      <c r="R29" s="22">
        <f t="shared" si="25"/>
        <v>1598.47799605818</v>
      </c>
      <c r="S29" s="22">
        <f t="shared" si="25"/>
        <v>1705.92986136683</v>
      </c>
      <c r="T29" s="22">
        <f t="shared" si="25"/>
        <v>1713.7954602011798</v>
      </c>
      <c r="U29" s="22">
        <f t="shared" si="25"/>
        <v>1706.2029117984098</v>
      </c>
      <c r="V29" s="22">
        <f t="shared" si="25"/>
        <v>1739.0611904155398</v>
      </c>
      <c r="W29" s="22">
        <f t="shared" si="25"/>
        <v>1796.5358715455302</v>
      </c>
      <c r="X29" s="22">
        <f t="shared" si="25"/>
        <v>1853.3562397462799</v>
      </c>
      <c r="Y29" s="22">
        <f t="shared" si="25"/>
        <v>1846.3049357005998</v>
      </c>
      <c r="Z29" s="22">
        <f t="shared" si="25"/>
        <v>1827.01259091869</v>
      </c>
      <c r="AA29" s="22">
        <f t="shared" si="25"/>
        <v>1863.01292432838</v>
      </c>
      <c r="AB29" s="22">
        <f t="shared" si="25"/>
        <v>1912.2499319753399</v>
      </c>
      <c r="AC29" s="22">
        <f t="shared" si="25"/>
        <v>1905.89755034169</v>
      </c>
      <c r="AD29" s="22">
        <f t="shared" si="25"/>
        <v>1985.6610132479798</v>
      </c>
      <c r="AE29" s="22">
        <f t="shared" si="25"/>
        <v>2122.84035284739</v>
      </c>
      <c r="AF29" s="22">
        <f t="shared" si="25"/>
        <v>2172.1423200300601</v>
      </c>
      <c r="AG29" s="22">
        <f t="shared" si="25"/>
        <v>2281.67359936093</v>
      </c>
      <c r="AH29" s="22">
        <f t="shared" si="25"/>
        <v>2365.11410413576</v>
      </c>
      <c r="AI29" s="22">
        <f t="shared" si="25"/>
        <v>2411.2899033644298</v>
      </c>
      <c r="AJ29" s="22">
        <f t="shared" si="25"/>
        <v>2413.8939472714601</v>
      </c>
      <c r="AK29" s="22">
        <f t="shared" si="25"/>
        <v>2556.68287762411</v>
      </c>
      <c r="AL29" s="22">
        <f t="shared" si="25"/>
        <v>2541.4370031023554</v>
      </c>
      <c r="AM29" s="22">
        <f t="shared" si="25"/>
        <v>2562.8802583553102</v>
      </c>
      <c r="AN29" s="22">
        <f t="shared" si="25"/>
        <v>2852.81392075862</v>
      </c>
      <c r="AO29" s="22">
        <f t="shared" si="25"/>
        <v>2806.67632128681</v>
      </c>
      <c r="AP29" s="22">
        <f t="shared" si="25"/>
        <v>2893.2453716627801</v>
      </c>
      <c r="AQ29" s="22">
        <f t="shared" si="25"/>
        <v>3078.2025607604801</v>
      </c>
      <c r="AR29" s="22">
        <f t="shared" si="25"/>
        <v>3136.0256450163702</v>
      </c>
      <c r="AS29" s="22">
        <f t="shared" si="25"/>
        <v>3083.6747009425699</v>
      </c>
      <c r="AT29" s="22">
        <f t="shared" si="25"/>
        <v>3145.8315594015999</v>
      </c>
      <c r="AU29" s="22">
        <f t="shared" si="25"/>
        <v>3188.3003503807595</v>
      </c>
      <c r="AV29" s="22">
        <f t="shared" si="25"/>
        <v>3255.2911280683402</v>
      </c>
      <c r="AW29" s="22">
        <f t="shared" ref="AW29:AZ29" si="26">AW13+SUM(AW17)+SUM(AW21)+SUM(AW25)</f>
        <v>3280.0805199687302</v>
      </c>
      <c r="AX29" s="22">
        <f t="shared" si="26"/>
        <v>3281.6182198355</v>
      </c>
      <c r="AY29" s="22">
        <f t="shared" si="26"/>
        <v>3342.4858076396899</v>
      </c>
      <c r="AZ29" s="22">
        <f t="shared" si="26"/>
        <v>0</v>
      </c>
    </row>
    <row r="30" spans="1:52" ht="16.5">
      <c r="A30" s="2"/>
      <c r="B30" s="2"/>
      <c r="C30" s="2" t="s">
        <v>11</v>
      </c>
      <c r="D30" s="25"/>
      <c r="E30" s="22">
        <f t="shared" ref="E30:F30" si="27">E14+SUM(E18)+SUM(E22)+SUM(E26)</f>
        <v>1757.5801300000001</v>
      </c>
      <c r="F30" s="22">
        <f t="shared" si="27"/>
        <v>1756.3210939999999</v>
      </c>
      <c r="G30" s="22">
        <f t="shared" si="22"/>
        <v>1818.1340400000001</v>
      </c>
      <c r="H30" s="22">
        <f>H14+H18+H22+H26</f>
        <v>1856.1208119999999</v>
      </c>
      <c r="I30" s="22">
        <f t="shared" si="23"/>
        <v>1850.4495650000001</v>
      </c>
      <c r="J30" s="22">
        <f t="shared" si="23"/>
        <v>1896.3153249999998</v>
      </c>
      <c r="K30" s="22">
        <f t="shared" si="24"/>
        <v>1913.1745130000002</v>
      </c>
      <c r="L30" s="22">
        <f t="shared" si="24"/>
        <v>1759.1000051999602</v>
      </c>
      <c r="M30" s="22">
        <f t="shared" si="25"/>
        <v>1805.7527375256602</v>
      </c>
      <c r="N30" s="22">
        <f t="shared" si="25"/>
        <v>1848.81771215546</v>
      </c>
      <c r="O30" s="22">
        <f t="shared" si="25"/>
        <v>1774.6170749272098</v>
      </c>
      <c r="P30" s="22">
        <f t="shared" si="25"/>
        <v>1701.1766225188101</v>
      </c>
      <c r="Q30" s="22">
        <f t="shared" si="25"/>
        <v>1756.9171426069702</v>
      </c>
      <c r="R30" s="22">
        <f t="shared" si="25"/>
        <v>1661.5382636211</v>
      </c>
      <c r="S30" s="22">
        <f t="shared" si="25"/>
        <v>1623.8675576517899</v>
      </c>
      <c r="T30" s="22">
        <f t="shared" si="25"/>
        <v>1509.5303073652599</v>
      </c>
      <c r="U30" s="22">
        <f t="shared" si="25"/>
        <v>1593.9690000072801</v>
      </c>
      <c r="V30" s="22">
        <f t="shared" si="25"/>
        <v>1659.4128614483702</v>
      </c>
      <c r="W30" s="22">
        <f t="shared" si="25"/>
        <v>1730.03985915459</v>
      </c>
      <c r="X30" s="22">
        <f t="shared" si="25"/>
        <v>1805.4362063288897</v>
      </c>
      <c r="Y30" s="22">
        <f t="shared" si="25"/>
        <v>1840.1342719278298</v>
      </c>
      <c r="Z30" s="22">
        <f t="shared" si="25"/>
        <v>1849.5365955315701</v>
      </c>
      <c r="AA30" s="22">
        <f t="shared" si="25"/>
        <v>1910.87940617049</v>
      </c>
      <c r="AB30" s="22">
        <f t="shared" si="25"/>
        <v>1923.9267586937399</v>
      </c>
      <c r="AC30" s="22">
        <f t="shared" si="25"/>
        <v>1922.3318873158698</v>
      </c>
      <c r="AD30" s="22">
        <f t="shared" si="25"/>
        <v>1987.6150737207402</v>
      </c>
      <c r="AE30" s="22">
        <f t="shared" si="25"/>
        <v>1966.4570519966901</v>
      </c>
      <c r="AF30" s="22">
        <f t="shared" si="25"/>
        <v>1942.29005115839</v>
      </c>
      <c r="AG30" s="22">
        <f t="shared" si="25"/>
        <v>2039.4540248552298</v>
      </c>
      <c r="AH30" s="22">
        <f t="shared" si="25"/>
        <v>2051.8071930116898</v>
      </c>
      <c r="AI30" s="22">
        <f t="shared" si="25"/>
        <v>2090.2586175178199</v>
      </c>
      <c r="AJ30" s="22">
        <f t="shared" si="25"/>
        <v>2019.3039918189302</v>
      </c>
      <c r="AK30" s="22">
        <f t="shared" si="25"/>
        <v>2073.9189999999999</v>
      </c>
      <c r="AL30" s="22">
        <f t="shared" si="25"/>
        <v>2050.547</v>
      </c>
      <c r="AM30" s="22">
        <f t="shared" si="25"/>
        <v>2028.193</v>
      </c>
      <c r="AN30" s="22">
        <f t="shared" si="25"/>
        <v>1892.729</v>
      </c>
      <c r="AO30" s="22">
        <f t="shared" si="25"/>
        <v>1803.0407</v>
      </c>
      <c r="AP30" s="22">
        <f t="shared" si="25"/>
        <v>1872.87547</v>
      </c>
      <c r="AQ30" s="22">
        <f t="shared" si="25"/>
        <v>1855.0070000000001</v>
      </c>
      <c r="AR30" s="22">
        <f t="shared" si="25"/>
        <v>1868.491</v>
      </c>
      <c r="AS30" s="22">
        <f t="shared" si="25"/>
        <v>1887.8208099999999</v>
      </c>
      <c r="AT30" s="22">
        <f t="shared" si="25"/>
        <v>1841.0917999999999</v>
      </c>
      <c r="AU30" s="22">
        <f t="shared" si="25"/>
        <v>1884.32457</v>
      </c>
      <c r="AV30" s="22">
        <f t="shared" si="25"/>
        <v>1836.4952699999999</v>
      </c>
      <c r="AW30" s="22">
        <f t="shared" ref="AW30:AZ30" si="28">AW14+SUM(AW18)+SUM(AW22)+SUM(AW26)</f>
        <v>1855.498</v>
      </c>
      <c r="AX30" s="22">
        <f t="shared" si="28"/>
        <v>1896.4112</v>
      </c>
      <c r="AY30" s="22">
        <f t="shared" si="28"/>
        <v>1969.1261989126001</v>
      </c>
      <c r="AZ30" s="22">
        <f t="shared" si="28"/>
        <v>0</v>
      </c>
    </row>
    <row r="31" spans="1:52" ht="16.5">
      <c r="A31" s="2"/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  <c r="U31" s="3"/>
      <c r="V31" s="3"/>
      <c r="W31" s="3"/>
      <c r="X31" s="3"/>
      <c r="Y31" s="3"/>
      <c r="Z31" s="3"/>
      <c r="AA31" s="3"/>
      <c r="AB31" s="2"/>
      <c r="AC31" s="2"/>
      <c r="AD31" s="2"/>
      <c r="AE31" s="2"/>
      <c r="AF31" s="2"/>
      <c r="AG31" s="2"/>
      <c r="AH31" s="2"/>
      <c r="AI31" s="2"/>
      <c r="AJ31" s="2"/>
      <c r="AK31" s="4"/>
      <c r="AL31" s="4"/>
      <c r="AM31" s="4"/>
      <c r="AN31" s="4"/>
      <c r="AO31" s="4"/>
      <c r="AP31" s="4"/>
      <c r="AQ31" s="4"/>
      <c r="AR31" s="4"/>
      <c r="AS31" s="4"/>
    </row>
    <row r="32" spans="1:52" ht="16.5">
      <c r="A32" s="23" t="s">
        <v>21</v>
      </c>
      <c r="B32" s="46" t="s">
        <v>22</v>
      </c>
      <c r="C32" s="24"/>
      <c r="D32" s="24"/>
      <c r="E32" s="25">
        <f t="shared" ref="E32:Y32" si="29">E33+E34+E35</f>
        <v>129.64000000000001</v>
      </c>
      <c r="F32" s="25">
        <f t="shared" si="29"/>
        <v>133.44</v>
      </c>
      <c r="G32" s="25">
        <f t="shared" si="29"/>
        <v>133.22</v>
      </c>
      <c r="H32" s="25">
        <f t="shared" si="29"/>
        <v>132.38999999999999</v>
      </c>
      <c r="I32" s="25">
        <f t="shared" si="29"/>
        <v>137.6</v>
      </c>
      <c r="J32" s="25">
        <f t="shared" si="29"/>
        <v>134.73999999999998</v>
      </c>
      <c r="K32" s="25">
        <f t="shared" si="29"/>
        <v>146.85000000000002</v>
      </c>
      <c r="L32" s="25">
        <f t="shared" si="29"/>
        <v>155.34</v>
      </c>
      <c r="M32" s="25">
        <f t="shared" si="29"/>
        <v>165.45000000000002</v>
      </c>
      <c r="N32" s="25">
        <f t="shared" si="29"/>
        <v>163.81</v>
      </c>
      <c r="O32" s="25">
        <f t="shared" si="29"/>
        <v>171.33</v>
      </c>
      <c r="P32" s="25">
        <f t="shared" si="29"/>
        <v>181.40141934775997</v>
      </c>
      <c r="Q32" s="25">
        <f t="shared" si="29"/>
        <v>179.52822355013001</v>
      </c>
      <c r="R32" s="26">
        <f>R33+R34+R35</f>
        <v>170.29999999999998</v>
      </c>
      <c r="S32" s="47">
        <f>S33+S34+S35</f>
        <v>185.08470098134998</v>
      </c>
      <c r="T32" s="25">
        <f t="shared" si="29"/>
        <v>179.08249462277999</v>
      </c>
      <c r="U32" s="25">
        <f t="shared" si="29"/>
        <v>203.58249462277999</v>
      </c>
      <c r="V32" s="25">
        <f t="shared" si="29"/>
        <v>217.94249462277998</v>
      </c>
      <c r="W32" s="25">
        <f t="shared" si="29"/>
        <v>221.50996729849001</v>
      </c>
      <c r="X32" s="25">
        <f t="shared" si="29"/>
        <v>252.29117320348999</v>
      </c>
      <c r="Y32" s="25">
        <f t="shared" si="29"/>
        <v>249.33117320348998</v>
      </c>
      <c r="Z32" s="26">
        <f>Z33+Z34+Z35</f>
        <v>235.07549532676001</v>
      </c>
      <c r="AA32" s="26">
        <f>AA33+AA34+AA35</f>
        <v>253.12540663367</v>
      </c>
      <c r="AB32" s="27">
        <f>AB33+AB34+AB35</f>
        <v>280.46914224739004</v>
      </c>
      <c r="AC32" s="28">
        <f>AC33+AC34+AC35</f>
        <v>307.23540663366998</v>
      </c>
      <c r="AD32" s="26">
        <f>AD33+AD34+AD35</f>
        <v>317.93618387407003</v>
      </c>
      <c r="AE32" s="26">
        <f>AE33+AE34</f>
        <v>313.07</v>
      </c>
      <c r="AF32" s="26">
        <f>AF33+AF34+AF35</f>
        <v>315.06720670884999</v>
      </c>
      <c r="AG32" s="28">
        <f>AG33+AG34+AG35</f>
        <v>340.36720670885001</v>
      </c>
      <c r="AH32" s="26">
        <f>AH33+AH34+AH35</f>
        <v>383.94765898669999</v>
      </c>
      <c r="AI32" s="26">
        <f>AI33+AI34+AI35</f>
        <v>405.73765898670001</v>
      </c>
      <c r="AJ32" s="26">
        <f>AJ33+AJ34+AJ35</f>
        <v>412.83503483407998</v>
      </c>
      <c r="AK32" s="28">
        <f t="shared" ref="AK32" si="30">AK33+AK34+AK35</f>
        <v>432.35503483408002</v>
      </c>
      <c r="AL32" s="26">
        <f>AL33+AL34+AL35</f>
        <v>438.73503483408001</v>
      </c>
      <c r="AM32" s="26">
        <f>AM33+AM34+AM35</f>
        <v>438.79503483408001</v>
      </c>
      <c r="AN32" s="29">
        <f>AN33+AN34+AN35</f>
        <v>456.86503483408001</v>
      </c>
      <c r="AO32" s="48">
        <f t="shared" ref="AO32" si="31">AO33+AO34+AO35</f>
        <v>454.15</v>
      </c>
      <c r="AP32" s="29">
        <f>AP33+AP34+AP35</f>
        <v>454.09845844572999</v>
      </c>
      <c r="AQ32" s="48">
        <f t="shared" ref="AQ32" si="32">AQ33+AQ34+AQ35</f>
        <v>464.86845844573003</v>
      </c>
      <c r="AR32" s="29">
        <f>AR33+AR34+AR35</f>
        <v>474.65000000000003</v>
      </c>
      <c r="AS32" s="48">
        <f t="shared" ref="AS32" si="33">AS33+AS34+AS35</f>
        <v>481.1</v>
      </c>
      <c r="AT32" s="30">
        <f>AT33+AT34+AT35</f>
        <v>485.82</v>
      </c>
      <c r="AU32" s="30">
        <f>AU33+AU34+AU35</f>
        <v>487.11999999999995</v>
      </c>
      <c r="AV32" s="30">
        <f>AV33+AV34+AV35</f>
        <v>489.24</v>
      </c>
      <c r="AW32" s="30">
        <f t="shared" ref="AW32:AZ32" si="34">AW33+AW34+AW35</f>
        <v>485.68</v>
      </c>
      <c r="AX32" s="30">
        <f t="shared" si="34"/>
        <v>490.43</v>
      </c>
      <c r="AY32" s="30">
        <f t="shared" si="34"/>
        <v>493.02</v>
      </c>
      <c r="AZ32" s="30">
        <f t="shared" si="34"/>
        <v>0</v>
      </c>
    </row>
    <row r="33" spans="1:52" ht="16.5">
      <c r="A33" s="2"/>
      <c r="B33" s="2"/>
      <c r="C33" s="2" t="s">
        <v>23</v>
      </c>
      <c r="D33" s="2"/>
      <c r="E33" s="3">
        <v>128.61000000000001</v>
      </c>
      <c r="F33" s="3">
        <v>132.13</v>
      </c>
      <c r="G33" s="3">
        <v>131.94999999999999</v>
      </c>
      <c r="H33" s="3">
        <v>131.47</v>
      </c>
      <c r="I33" s="3">
        <v>136.01</v>
      </c>
      <c r="J33" s="3">
        <v>133.29</v>
      </c>
      <c r="K33" s="3">
        <v>145.24</v>
      </c>
      <c r="L33" s="3">
        <v>153.94</v>
      </c>
      <c r="M33" s="3">
        <v>164.05</v>
      </c>
      <c r="N33" s="3">
        <v>162.31</v>
      </c>
      <c r="O33" s="3">
        <v>170.06</v>
      </c>
      <c r="P33" s="3">
        <v>175.98</v>
      </c>
      <c r="Q33" s="3">
        <v>174.36</v>
      </c>
      <c r="R33" s="3">
        <v>169.88</v>
      </c>
      <c r="S33" s="19">
        <v>180.38</v>
      </c>
      <c r="T33" s="19">
        <v>175.99</v>
      </c>
      <c r="U33" s="3">
        <v>200.79</v>
      </c>
      <c r="V33" s="3">
        <v>215.2</v>
      </c>
      <c r="W33" s="3">
        <v>218.68</v>
      </c>
      <c r="X33" s="19">
        <v>248.56</v>
      </c>
      <c r="Y33" s="3">
        <v>245.6</v>
      </c>
      <c r="Z33" s="3">
        <v>231.65</v>
      </c>
      <c r="AA33" s="3">
        <v>249.88</v>
      </c>
      <c r="AB33" s="19">
        <v>277.17</v>
      </c>
      <c r="AC33" s="3">
        <v>303.99</v>
      </c>
      <c r="AD33" s="3">
        <v>314.74</v>
      </c>
      <c r="AE33" s="3">
        <v>313.07</v>
      </c>
      <c r="AF33" s="3">
        <v>311.81</v>
      </c>
      <c r="AG33" s="3">
        <v>337.11</v>
      </c>
      <c r="AH33" s="3">
        <v>383.69</v>
      </c>
      <c r="AI33" s="3">
        <v>405.48</v>
      </c>
      <c r="AJ33" s="3">
        <v>409.64</v>
      </c>
      <c r="AK33" s="3">
        <v>429.17</v>
      </c>
      <c r="AL33" s="3">
        <v>435.55</v>
      </c>
      <c r="AM33" s="3">
        <v>435.61</v>
      </c>
      <c r="AN33" s="3">
        <v>453.68</v>
      </c>
      <c r="AO33" s="3">
        <v>454.03</v>
      </c>
      <c r="AP33" s="20">
        <v>453.77</v>
      </c>
      <c r="AQ33" s="20">
        <v>464.55</v>
      </c>
      <c r="AR33" s="3">
        <v>474.55</v>
      </c>
      <c r="AS33" s="3">
        <v>481</v>
      </c>
      <c r="AT33" s="21">
        <v>485.73</v>
      </c>
      <c r="AU33" s="21">
        <v>487.03</v>
      </c>
      <c r="AV33" s="21">
        <v>489.16</v>
      </c>
      <c r="AW33" s="21">
        <v>485.61</v>
      </c>
      <c r="AX33" s="21">
        <v>490.36</v>
      </c>
      <c r="AY33" s="21">
        <v>492.96</v>
      </c>
    </row>
    <row r="34" spans="1:52" ht="16.5">
      <c r="A34" s="2"/>
      <c r="B34" s="2"/>
      <c r="C34" s="2" t="s">
        <v>24</v>
      </c>
      <c r="D34" s="2"/>
      <c r="E34" s="3">
        <v>1.03</v>
      </c>
      <c r="F34" s="3">
        <v>1.31</v>
      </c>
      <c r="G34" s="3">
        <v>1.27</v>
      </c>
      <c r="H34" s="3">
        <v>0.92</v>
      </c>
      <c r="I34" s="3">
        <v>1.59</v>
      </c>
      <c r="J34" s="3">
        <v>1.45</v>
      </c>
      <c r="K34" s="3">
        <v>1.61</v>
      </c>
      <c r="L34" s="3">
        <v>1.4</v>
      </c>
      <c r="M34" s="3">
        <v>1.4</v>
      </c>
      <c r="N34" s="3">
        <v>1.5</v>
      </c>
      <c r="O34" s="3">
        <v>1.27</v>
      </c>
      <c r="P34" s="3">
        <v>0.76</v>
      </c>
      <c r="Q34" s="3">
        <v>0.22</v>
      </c>
      <c r="R34" s="3">
        <v>0.42</v>
      </c>
      <c r="S34" s="19">
        <v>0.48</v>
      </c>
      <c r="T34" s="19">
        <v>0.35</v>
      </c>
      <c r="U34" s="3">
        <v>0.05</v>
      </c>
      <c r="V34" s="3">
        <v>0</v>
      </c>
      <c r="W34" s="3">
        <v>0</v>
      </c>
      <c r="X34" s="19">
        <v>0</v>
      </c>
      <c r="Y34" s="3">
        <v>0</v>
      </c>
      <c r="Z34" s="3">
        <v>0</v>
      </c>
      <c r="AA34" s="3">
        <v>0</v>
      </c>
      <c r="AB34" s="19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0.15</v>
      </c>
      <c r="AK34" s="3">
        <v>0.14000000000000001</v>
      </c>
      <c r="AL34" s="3">
        <v>0.14000000000000001</v>
      </c>
      <c r="AM34" s="3">
        <v>0.14000000000000001</v>
      </c>
      <c r="AN34" s="3">
        <v>0.14000000000000001</v>
      </c>
      <c r="AO34" s="3">
        <v>0.12</v>
      </c>
      <c r="AP34" s="20">
        <v>0.12</v>
      </c>
      <c r="AQ34" s="20">
        <v>0.11</v>
      </c>
      <c r="AR34" s="3">
        <v>0.1</v>
      </c>
      <c r="AS34" s="3">
        <v>0.1</v>
      </c>
      <c r="AT34" s="21">
        <v>0.09</v>
      </c>
      <c r="AU34" s="21">
        <v>0.09</v>
      </c>
      <c r="AV34" s="21">
        <v>0.08</v>
      </c>
      <c r="AW34" s="21">
        <v>7.0000000000000007E-2</v>
      </c>
      <c r="AX34" s="21">
        <v>7.0000000000000007E-2</v>
      </c>
      <c r="AY34" s="21">
        <v>0.06</v>
      </c>
    </row>
    <row r="35" spans="1:52" ht="16.5">
      <c r="A35" s="2"/>
      <c r="B35" s="2"/>
      <c r="C35" s="2" t="s">
        <v>25</v>
      </c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v>4.6614193477599999</v>
      </c>
      <c r="Q35" s="3">
        <v>4.9482235501299998</v>
      </c>
      <c r="R35" s="2">
        <v>0</v>
      </c>
      <c r="S35" s="19">
        <v>4.2247009813499998</v>
      </c>
      <c r="T35" s="19">
        <v>2.7424946227799998</v>
      </c>
      <c r="U35" s="19">
        <v>2.7424946227799998</v>
      </c>
      <c r="V35" s="19">
        <v>2.7424946227799998</v>
      </c>
      <c r="W35" s="49">
        <v>2.8299672984900002</v>
      </c>
      <c r="X35" s="19">
        <v>3.73117320349</v>
      </c>
      <c r="Y35" s="3">
        <v>3.73117320349</v>
      </c>
      <c r="Z35" s="3">
        <v>3.4254953267600001</v>
      </c>
      <c r="AA35" s="49">
        <v>3.24540663367</v>
      </c>
      <c r="AB35" s="19">
        <v>3.2991422473899998</v>
      </c>
      <c r="AC35" s="3">
        <v>3.24540663367</v>
      </c>
      <c r="AD35" s="3">
        <v>3.1961838740699999</v>
      </c>
      <c r="AE35" s="49">
        <v>3.2572067088500001</v>
      </c>
      <c r="AF35" s="49">
        <v>3.2572067088500001</v>
      </c>
      <c r="AG35" s="3">
        <v>3.2572067088500001</v>
      </c>
      <c r="AH35" s="3">
        <v>0.25765898669999998</v>
      </c>
      <c r="AI35" s="49">
        <v>0.25765898669999998</v>
      </c>
      <c r="AJ35" s="49">
        <v>3.04503483408</v>
      </c>
      <c r="AK35" s="3">
        <v>3.04503483408</v>
      </c>
      <c r="AL35" s="3">
        <v>3.04503483408</v>
      </c>
      <c r="AM35" s="49">
        <v>3.04503483408</v>
      </c>
      <c r="AN35" s="49">
        <v>3.04503483408</v>
      </c>
      <c r="AO35" s="3">
        <v>0</v>
      </c>
      <c r="AP35" s="20">
        <v>0.20845844573</v>
      </c>
      <c r="AQ35" s="20">
        <v>0.20845844573</v>
      </c>
      <c r="AR35" s="49">
        <v>0</v>
      </c>
      <c r="AS35" s="3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</row>
    <row r="36" spans="1:52" ht="16.5">
      <c r="A36" s="50"/>
      <c r="B36" s="50"/>
      <c r="C36" s="50"/>
      <c r="D36" s="50"/>
      <c r="E36" s="51"/>
      <c r="F36" s="51"/>
      <c r="G36" s="51"/>
      <c r="H36" s="52"/>
      <c r="I36" s="52"/>
      <c r="J36" s="52"/>
      <c r="K36" s="52"/>
      <c r="L36" s="52"/>
      <c r="M36" s="50"/>
      <c r="N36" s="50"/>
      <c r="O36" s="50"/>
      <c r="P36" s="50"/>
      <c r="Q36" s="50"/>
      <c r="R36" s="50"/>
      <c r="S36" s="50"/>
      <c r="T36" s="50"/>
      <c r="U36" s="52"/>
      <c r="V36" s="52"/>
      <c r="W36" s="52"/>
      <c r="X36" s="52"/>
      <c r="Y36" s="52"/>
      <c r="Z36" s="52"/>
      <c r="AA36" s="52"/>
      <c r="AB36" s="50"/>
      <c r="AC36" s="50"/>
      <c r="AD36" s="50"/>
      <c r="AE36" s="50"/>
      <c r="AF36" s="50"/>
      <c r="AG36" s="50"/>
      <c r="AH36" s="50"/>
      <c r="AI36" s="50"/>
      <c r="AJ36" s="50"/>
      <c r="AK36" s="4"/>
      <c r="AL36" s="4"/>
      <c r="AM36" s="4"/>
      <c r="AN36" s="4"/>
      <c r="AO36" s="4"/>
      <c r="AP36" s="4"/>
      <c r="AQ36" s="4"/>
      <c r="AR36" s="4"/>
      <c r="AS36" s="4"/>
    </row>
    <row r="37" spans="1:52" ht="16.5">
      <c r="A37" s="53" t="s">
        <v>26</v>
      </c>
      <c r="B37" s="54" t="s">
        <v>27</v>
      </c>
      <c r="C37" s="54"/>
      <c r="D37" s="54"/>
      <c r="E37" s="55">
        <f t="shared" ref="E37:AV37" si="35">E38+E39</f>
        <v>3177.5487997923401</v>
      </c>
      <c r="F37" s="55">
        <f t="shared" si="35"/>
        <v>3189.0911047808795</v>
      </c>
      <c r="G37" s="55">
        <f t="shared" si="35"/>
        <v>3351.7513897338704</v>
      </c>
      <c r="H37" s="55">
        <f t="shared" si="35"/>
        <v>3369.4682819999998</v>
      </c>
      <c r="I37" s="55">
        <f t="shared" si="35"/>
        <v>3405.4987289999999</v>
      </c>
      <c r="J37" s="55">
        <f t="shared" si="35"/>
        <v>3458.8150969399899</v>
      </c>
      <c r="K37" s="55">
        <f t="shared" si="35"/>
        <v>3548.1204032988403</v>
      </c>
      <c r="L37" s="55">
        <f t="shared" si="35"/>
        <v>3359.4554856996501</v>
      </c>
      <c r="M37" s="55">
        <f t="shared" si="35"/>
        <v>3402.16863044207</v>
      </c>
      <c r="N37" s="55">
        <f t="shared" si="35"/>
        <v>3386.3830816856903</v>
      </c>
      <c r="O37" s="55">
        <f t="shared" si="35"/>
        <v>3308.0885345532497</v>
      </c>
      <c r="P37" s="55">
        <f t="shared" si="35"/>
        <v>3230.0232707445998</v>
      </c>
      <c r="Q37" s="55">
        <f t="shared" si="35"/>
        <v>3274.2741664915002</v>
      </c>
      <c r="R37" s="55">
        <f t="shared" si="35"/>
        <v>3089.7162596792796</v>
      </c>
      <c r="S37" s="55">
        <f t="shared" si="35"/>
        <v>3144.71271803727</v>
      </c>
      <c r="T37" s="55">
        <f t="shared" si="35"/>
        <v>3044.2432729436596</v>
      </c>
      <c r="U37" s="55">
        <f t="shared" si="35"/>
        <v>3096.58941718291</v>
      </c>
      <c r="V37" s="55">
        <f t="shared" si="35"/>
        <v>3180.53155724113</v>
      </c>
      <c r="W37" s="55">
        <f t="shared" si="35"/>
        <v>3305.0657634016302</v>
      </c>
      <c r="X37" s="55">
        <f t="shared" si="35"/>
        <v>3406.5012728716797</v>
      </c>
      <c r="Y37" s="55">
        <f t="shared" si="35"/>
        <v>3437.1080344249394</v>
      </c>
      <c r="Z37" s="55">
        <f t="shared" si="35"/>
        <v>3441.4736911235</v>
      </c>
      <c r="AA37" s="55">
        <f t="shared" si="35"/>
        <v>3520.7669238651997</v>
      </c>
      <c r="AB37" s="55">
        <f t="shared" si="35"/>
        <v>3555.7075484216898</v>
      </c>
      <c r="AC37" s="55">
        <f t="shared" si="35"/>
        <v>3520.9940310238899</v>
      </c>
      <c r="AD37" s="55">
        <f t="shared" si="35"/>
        <v>3655.3399030946503</v>
      </c>
      <c r="AE37" s="55">
        <f t="shared" si="35"/>
        <v>3772.97019813523</v>
      </c>
      <c r="AF37" s="55">
        <f t="shared" si="35"/>
        <v>3799.3651644796</v>
      </c>
      <c r="AG37" s="55">
        <f t="shared" si="35"/>
        <v>3980.7604175073097</v>
      </c>
      <c r="AH37" s="55">
        <f t="shared" si="35"/>
        <v>4032.9736381607499</v>
      </c>
      <c r="AI37" s="55">
        <f t="shared" si="35"/>
        <v>4095.8108618955494</v>
      </c>
      <c r="AJ37" s="55">
        <f t="shared" si="35"/>
        <v>4020.3629042563102</v>
      </c>
      <c r="AK37" s="55">
        <f t="shared" si="35"/>
        <v>4198.2468427900294</v>
      </c>
      <c r="AL37" s="55">
        <f t="shared" si="35"/>
        <v>4153.2489682682753</v>
      </c>
      <c r="AM37" s="55">
        <f t="shared" si="35"/>
        <v>4152.2782235212298</v>
      </c>
      <c r="AN37" s="55">
        <f t="shared" si="35"/>
        <v>4288.6778859245405</v>
      </c>
      <c r="AO37" s="55">
        <f t="shared" si="35"/>
        <v>4155.5670212868099</v>
      </c>
      <c r="AP37" s="55">
        <f t="shared" si="35"/>
        <v>4312.0223832170504</v>
      </c>
      <c r="AQ37" s="55">
        <f t="shared" si="35"/>
        <v>4468.3411023147501</v>
      </c>
      <c r="AR37" s="55">
        <f t="shared" si="35"/>
        <v>4529.8666450163701</v>
      </c>
      <c r="AS37" s="55">
        <f t="shared" si="35"/>
        <v>4490.3955109425697</v>
      </c>
      <c r="AT37" s="55">
        <f t="shared" si="35"/>
        <v>4501.1033594015998</v>
      </c>
      <c r="AU37" s="55">
        <f t="shared" si="35"/>
        <v>4585.5049203807594</v>
      </c>
      <c r="AV37" s="55">
        <f t="shared" si="35"/>
        <v>4602.5463980683398</v>
      </c>
      <c r="AW37" s="55">
        <f t="shared" ref="AW37:AZ37" si="36">AW38+AW39</f>
        <v>4649.8985199687304</v>
      </c>
      <c r="AX37" s="55">
        <f t="shared" si="36"/>
        <v>4687.5994198355002</v>
      </c>
      <c r="AY37" s="55">
        <f t="shared" si="36"/>
        <v>4818.5920065522896</v>
      </c>
      <c r="AZ37" s="55">
        <f t="shared" si="36"/>
        <v>0</v>
      </c>
    </row>
    <row r="38" spans="1:52" ht="16.5">
      <c r="A38" s="2"/>
      <c r="B38" s="2"/>
      <c r="C38" s="1" t="s">
        <v>10</v>
      </c>
      <c r="D38" s="1"/>
      <c r="E38" s="56">
        <f t="shared" ref="E38:AV38" si="37">E29-E33-E34-E35</f>
        <v>1419.9686697923401</v>
      </c>
      <c r="F38" s="56">
        <f t="shared" si="37"/>
        <v>1432.7700107808796</v>
      </c>
      <c r="G38" s="56">
        <f t="shared" si="37"/>
        <v>1533.61734973387</v>
      </c>
      <c r="H38" s="56">
        <f>H29-H32</f>
        <v>1513.3474700000002</v>
      </c>
      <c r="I38" s="56">
        <f t="shared" si="37"/>
        <v>1555.049164</v>
      </c>
      <c r="J38" s="56">
        <f t="shared" si="37"/>
        <v>1562.4997719399901</v>
      </c>
      <c r="K38" s="56">
        <f t="shared" si="37"/>
        <v>1634.9458902988401</v>
      </c>
      <c r="L38" s="56">
        <f t="shared" si="37"/>
        <v>1600.3554804996897</v>
      </c>
      <c r="M38" s="56">
        <f t="shared" si="37"/>
        <v>1596.4158929164098</v>
      </c>
      <c r="N38" s="56">
        <f t="shared" si="37"/>
        <v>1537.5653695302303</v>
      </c>
      <c r="O38" s="56">
        <f t="shared" si="37"/>
        <v>1533.4714596260401</v>
      </c>
      <c r="P38" s="56">
        <f t="shared" si="37"/>
        <v>1528.8466482257897</v>
      </c>
      <c r="Q38" s="56">
        <f t="shared" si="37"/>
        <v>1517.3570238845298</v>
      </c>
      <c r="R38" s="56">
        <f t="shared" si="37"/>
        <v>1428.1779960581798</v>
      </c>
      <c r="S38" s="56">
        <f t="shared" si="37"/>
        <v>1520.8451603854801</v>
      </c>
      <c r="T38" s="56">
        <f t="shared" si="37"/>
        <v>1534.7129655783999</v>
      </c>
      <c r="U38" s="56">
        <f t="shared" si="37"/>
        <v>1502.6204171756299</v>
      </c>
      <c r="V38" s="56">
        <f t="shared" si="37"/>
        <v>1521.1186957927598</v>
      </c>
      <c r="W38" s="56">
        <f t="shared" si="37"/>
        <v>1575.0259042470402</v>
      </c>
      <c r="X38" s="56">
        <f t="shared" si="37"/>
        <v>1601.06506654279</v>
      </c>
      <c r="Y38" s="56">
        <f t="shared" si="37"/>
        <v>1596.9737624971099</v>
      </c>
      <c r="Z38" s="56">
        <f t="shared" si="37"/>
        <v>1591.9370955919298</v>
      </c>
      <c r="AA38" s="56">
        <f t="shared" si="37"/>
        <v>1609.8875176947099</v>
      </c>
      <c r="AB38" s="56">
        <f t="shared" si="37"/>
        <v>1631.7807897279499</v>
      </c>
      <c r="AC38" s="56">
        <f t="shared" si="37"/>
        <v>1598.66214370802</v>
      </c>
      <c r="AD38" s="56">
        <f t="shared" si="37"/>
        <v>1667.7248293739099</v>
      </c>
      <c r="AE38" s="56">
        <f t="shared" si="37"/>
        <v>1806.5131461385402</v>
      </c>
      <c r="AF38" s="56">
        <f t="shared" si="37"/>
        <v>1857.0751133212102</v>
      </c>
      <c r="AG38" s="56">
        <f t="shared" si="37"/>
        <v>1941.3063926520799</v>
      </c>
      <c r="AH38" s="56">
        <f t="shared" si="37"/>
        <v>1981.1664451490599</v>
      </c>
      <c r="AI38" s="56">
        <f t="shared" si="37"/>
        <v>2005.5522443777297</v>
      </c>
      <c r="AJ38" s="56">
        <f t="shared" si="37"/>
        <v>2001.0589124373801</v>
      </c>
      <c r="AK38" s="56">
        <f t="shared" si="37"/>
        <v>2124.32784279003</v>
      </c>
      <c r="AL38" s="56">
        <f t="shared" si="37"/>
        <v>2102.7019682682753</v>
      </c>
      <c r="AM38" s="56">
        <f t="shared" si="37"/>
        <v>2124.0852235212301</v>
      </c>
      <c r="AN38" s="56">
        <f t="shared" si="37"/>
        <v>2395.9488859245403</v>
      </c>
      <c r="AO38" s="56">
        <f t="shared" si="37"/>
        <v>2352.5263212868103</v>
      </c>
      <c r="AP38" s="56">
        <f t="shared" si="37"/>
        <v>2439.1469132170505</v>
      </c>
      <c r="AQ38" s="56">
        <f t="shared" si="37"/>
        <v>2613.33410231475</v>
      </c>
      <c r="AR38" s="56">
        <f t="shared" si="37"/>
        <v>2661.3756450163701</v>
      </c>
      <c r="AS38" s="56">
        <f t="shared" si="37"/>
        <v>2602.57470094257</v>
      </c>
      <c r="AT38" s="56">
        <f t="shared" si="37"/>
        <v>2660.0115594015997</v>
      </c>
      <c r="AU38" s="56">
        <f t="shared" si="37"/>
        <v>2701.1803503807596</v>
      </c>
      <c r="AV38" s="56">
        <f t="shared" si="37"/>
        <v>2766.0511280683404</v>
      </c>
      <c r="AW38" s="56">
        <f t="shared" ref="AW38:AZ38" si="38">AW29-AW33-AW34-AW35</f>
        <v>2794.4005199687299</v>
      </c>
      <c r="AX38" s="56">
        <f t="shared" si="38"/>
        <v>2791.1882198354997</v>
      </c>
      <c r="AY38" s="56">
        <f t="shared" si="38"/>
        <v>2849.46580763969</v>
      </c>
      <c r="AZ38" s="56">
        <f t="shared" si="38"/>
        <v>0</v>
      </c>
    </row>
    <row r="39" spans="1:52" ht="16.5">
      <c r="A39" s="50"/>
      <c r="B39" s="50"/>
      <c r="C39" s="9" t="s">
        <v>11</v>
      </c>
      <c r="D39" s="9"/>
      <c r="E39" s="57">
        <f t="shared" ref="E39:AV39" si="39">E30</f>
        <v>1757.5801300000001</v>
      </c>
      <c r="F39" s="57">
        <f t="shared" si="39"/>
        <v>1756.3210939999999</v>
      </c>
      <c r="G39" s="57">
        <f t="shared" si="39"/>
        <v>1818.1340400000001</v>
      </c>
      <c r="H39" s="57">
        <f t="shared" si="39"/>
        <v>1856.1208119999999</v>
      </c>
      <c r="I39" s="57">
        <f t="shared" si="39"/>
        <v>1850.4495650000001</v>
      </c>
      <c r="J39" s="57">
        <f t="shared" si="39"/>
        <v>1896.3153249999998</v>
      </c>
      <c r="K39" s="57">
        <f t="shared" si="39"/>
        <v>1913.1745130000002</v>
      </c>
      <c r="L39" s="57">
        <f t="shared" si="39"/>
        <v>1759.1000051999602</v>
      </c>
      <c r="M39" s="57">
        <f t="shared" si="39"/>
        <v>1805.7527375256602</v>
      </c>
      <c r="N39" s="57">
        <f t="shared" si="39"/>
        <v>1848.81771215546</v>
      </c>
      <c r="O39" s="57">
        <f t="shared" si="39"/>
        <v>1774.6170749272098</v>
      </c>
      <c r="P39" s="57">
        <f t="shared" si="39"/>
        <v>1701.1766225188101</v>
      </c>
      <c r="Q39" s="57">
        <f t="shared" si="39"/>
        <v>1756.9171426069702</v>
      </c>
      <c r="R39" s="57">
        <f t="shared" si="39"/>
        <v>1661.5382636211</v>
      </c>
      <c r="S39" s="57">
        <f t="shared" si="39"/>
        <v>1623.8675576517899</v>
      </c>
      <c r="T39" s="57">
        <f t="shared" si="39"/>
        <v>1509.5303073652599</v>
      </c>
      <c r="U39" s="57">
        <f t="shared" si="39"/>
        <v>1593.9690000072801</v>
      </c>
      <c r="V39" s="57">
        <f t="shared" si="39"/>
        <v>1659.4128614483702</v>
      </c>
      <c r="W39" s="57">
        <f t="shared" si="39"/>
        <v>1730.03985915459</v>
      </c>
      <c r="X39" s="57">
        <f t="shared" si="39"/>
        <v>1805.4362063288897</v>
      </c>
      <c r="Y39" s="57">
        <f t="shared" si="39"/>
        <v>1840.1342719278298</v>
      </c>
      <c r="Z39" s="57">
        <f t="shared" si="39"/>
        <v>1849.5365955315701</v>
      </c>
      <c r="AA39" s="57">
        <f t="shared" si="39"/>
        <v>1910.87940617049</v>
      </c>
      <c r="AB39" s="57">
        <f t="shared" si="39"/>
        <v>1923.9267586937399</v>
      </c>
      <c r="AC39" s="57">
        <f t="shared" si="39"/>
        <v>1922.3318873158698</v>
      </c>
      <c r="AD39" s="57">
        <f t="shared" si="39"/>
        <v>1987.6150737207402</v>
      </c>
      <c r="AE39" s="57">
        <f t="shared" si="39"/>
        <v>1966.4570519966901</v>
      </c>
      <c r="AF39" s="57">
        <f t="shared" si="39"/>
        <v>1942.29005115839</v>
      </c>
      <c r="AG39" s="57">
        <f t="shared" si="39"/>
        <v>2039.4540248552298</v>
      </c>
      <c r="AH39" s="57">
        <f t="shared" si="39"/>
        <v>2051.8071930116898</v>
      </c>
      <c r="AI39" s="57">
        <f t="shared" si="39"/>
        <v>2090.2586175178199</v>
      </c>
      <c r="AJ39" s="57">
        <f t="shared" si="39"/>
        <v>2019.3039918189302</v>
      </c>
      <c r="AK39" s="57">
        <f t="shared" si="39"/>
        <v>2073.9189999999999</v>
      </c>
      <c r="AL39" s="57">
        <f t="shared" si="39"/>
        <v>2050.547</v>
      </c>
      <c r="AM39" s="57">
        <f t="shared" si="39"/>
        <v>2028.193</v>
      </c>
      <c r="AN39" s="57">
        <f t="shared" si="39"/>
        <v>1892.729</v>
      </c>
      <c r="AO39" s="57">
        <f t="shared" si="39"/>
        <v>1803.0407</v>
      </c>
      <c r="AP39" s="57">
        <f t="shared" si="39"/>
        <v>1872.87547</v>
      </c>
      <c r="AQ39" s="57">
        <f t="shared" si="39"/>
        <v>1855.0070000000001</v>
      </c>
      <c r="AR39" s="57">
        <f t="shared" si="39"/>
        <v>1868.491</v>
      </c>
      <c r="AS39" s="57">
        <f t="shared" si="39"/>
        <v>1887.8208099999999</v>
      </c>
      <c r="AT39" s="57">
        <f t="shared" si="39"/>
        <v>1841.0917999999999</v>
      </c>
      <c r="AU39" s="57">
        <f t="shared" si="39"/>
        <v>1884.32457</v>
      </c>
      <c r="AV39" s="57">
        <f t="shared" si="39"/>
        <v>1836.4952699999999</v>
      </c>
      <c r="AW39" s="57">
        <f t="shared" ref="AW39:AZ39" si="40">AW30</f>
        <v>1855.498</v>
      </c>
      <c r="AX39" s="57">
        <f t="shared" si="40"/>
        <v>1896.4112</v>
      </c>
      <c r="AY39" s="57">
        <f t="shared" si="40"/>
        <v>1969.1261989126001</v>
      </c>
      <c r="AZ39" s="57">
        <f t="shared" si="40"/>
        <v>0</v>
      </c>
    </row>
    <row r="40" spans="1:52" ht="16.5">
      <c r="A40" s="11" t="s">
        <v>28</v>
      </c>
      <c r="B40" s="12" t="s">
        <v>92</v>
      </c>
      <c r="C40" s="12"/>
      <c r="D40" s="12"/>
      <c r="E40" s="13">
        <f t="shared" ref="E40:Y40" si="41">E41+E42</f>
        <v>1681.7153800000001</v>
      </c>
      <c r="F40" s="13">
        <f t="shared" si="41"/>
        <v>1697.78629</v>
      </c>
      <c r="G40" s="13">
        <f t="shared" si="41"/>
        <v>1701.28944</v>
      </c>
      <c r="H40" s="16">
        <f t="shared" si="41"/>
        <v>1546.0828099999999</v>
      </c>
      <c r="I40" s="13">
        <f t="shared" si="41"/>
        <v>1492.7958299999998</v>
      </c>
      <c r="J40" s="13">
        <f t="shared" si="41"/>
        <v>1516.6271200000003</v>
      </c>
      <c r="K40" s="13">
        <f t="shared" si="41"/>
        <v>1530.4362100000003</v>
      </c>
      <c r="L40" s="13">
        <f t="shared" si="41"/>
        <v>1573.5034999999998</v>
      </c>
      <c r="M40" s="13">
        <f t="shared" si="41"/>
        <v>1419.8337200000001</v>
      </c>
      <c r="N40" s="13">
        <f t="shared" si="41"/>
        <v>1488.90434</v>
      </c>
      <c r="O40" s="13">
        <f t="shared" si="41"/>
        <v>1405.8796399999999</v>
      </c>
      <c r="P40" s="13">
        <f t="shared" si="41"/>
        <v>1450.70055</v>
      </c>
      <c r="Q40" s="13">
        <f t="shared" si="41"/>
        <v>1382.20973</v>
      </c>
      <c r="R40" s="13">
        <f t="shared" si="41"/>
        <v>1325.74548</v>
      </c>
      <c r="S40" s="15">
        <f t="shared" si="41"/>
        <v>1273.3516</v>
      </c>
      <c r="T40" s="15">
        <f t="shared" si="41"/>
        <v>1212.6331299999999</v>
      </c>
      <c r="U40" s="13">
        <f t="shared" si="41"/>
        <v>1228.70127</v>
      </c>
      <c r="V40" s="13">
        <f t="shared" si="41"/>
        <v>1290.06817</v>
      </c>
      <c r="W40" s="13">
        <f t="shared" si="41"/>
        <v>1325.1672100000001</v>
      </c>
      <c r="X40" s="16">
        <f t="shared" si="41"/>
        <v>1308.24512</v>
      </c>
      <c r="Y40" s="14">
        <f t="shared" si="41"/>
        <v>1271.00036</v>
      </c>
      <c r="Z40" s="14">
        <f>Z41+Z42</f>
        <v>1309.2766300000001</v>
      </c>
      <c r="AA40" s="14">
        <f>AA41+AA42</f>
        <v>1265.75558</v>
      </c>
      <c r="AB40" s="16">
        <f>AB41+AB42</f>
        <v>1314.1928499999999</v>
      </c>
      <c r="AC40" s="14">
        <f t="shared" ref="AC40:AP40" si="42">AC41+AC42</f>
        <v>1292.28727</v>
      </c>
      <c r="AD40" s="14">
        <f t="shared" si="42"/>
        <v>1292.8888400000001</v>
      </c>
      <c r="AE40" s="14">
        <f t="shared" si="42"/>
        <v>1221.48397</v>
      </c>
      <c r="AF40" s="14">
        <f t="shared" si="42"/>
        <v>1239.36401</v>
      </c>
      <c r="AG40" s="14">
        <f t="shared" si="42"/>
        <v>1237.6603799999998</v>
      </c>
      <c r="AH40" s="14">
        <f t="shared" si="42"/>
        <v>1269.4573500000001</v>
      </c>
      <c r="AI40" s="14">
        <f t="shared" si="42"/>
        <v>1571.45045</v>
      </c>
      <c r="AJ40" s="14">
        <f t="shared" si="42"/>
        <v>1546.8807400000001</v>
      </c>
      <c r="AK40" s="14">
        <f t="shared" si="42"/>
        <v>1512.3124700000001</v>
      </c>
      <c r="AL40" s="14">
        <f t="shared" si="42"/>
        <v>1492.18967</v>
      </c>
      <c r="AM40" s="14">
        <f t="shared" si="42"/>
        <v>1484.1726899999999</v>
      </c>
      <c r="AN40" s="14">
        <f t="shared" si="42"/>
        <v>1508.66409</v>
      </c>
      <c r="AO40" s="14">
        <f t="shared" si="42"/>
        <v>1483.13069</v>
      </c>
      <c r="AP40" s="14">
        <f t="shared" si="42"/>
        <v>1545.11211</v>
      </c>
      <c r="AQ40" s="14">
        <f t="shared" ref="AQ40:AZ40" si="43">AQ41+AQ42</f>
        <v>1570.1439700000001</v>
      </c>
      <c r="AR40" s="14">
        <f t="shared" si="43"/>
        <v>1599.86022</v>
      </c>
      <c r="AS40" s="14">
        <f t="shared" si="43"/>
        <v>1604.08943</v>
      </c>
      <c r="AT40" s="17">
        <f t="shared" si="43"/>
        <v>1568.12319</v>
      </c>
      <c r="AU40" s="17">
        <f t="shared" si="43"/>
        <v>1562.04062</v>
      </c>
      <c r="AV40" s="17">
        <f t="shared" si="43"/>
        <v>1507.09566</v>
      </c>
      <c r="AW40" s="17">
        <f t="shared" si="43"/>
        <v>1500.7122899999999</v>
      </c>
      <c r="AX40" s="17">
        <f t="shared" si="43"/>
        <v>1472.9236000000001</v>
      </c>
      <c r="AY40" s="17">
        <f t="shared" si="43"/>
        <v>1480.61583</v>
      </c>
      <c r="AZ40" s="17">
        <f t="shared" si="43"/>
        <v>0</v>
      </c>
    </row>
    <row r="41" spans="1:52" ht="16.5">
      <c r="A41" s="41"/>
      <c r="B41" s="41"/>
      <c r="C41" s="41" t="s">
        <v>10</v>
      </c>
      <c r="D41" s="41"/>
      <c r="E41" s="58">
        <v>209.57024999999999</v>
      </c>
      <c r="F41" s="19">
        <v>206.57527999999999</v>
      </c>
      <c r="G41" s="59">
        <v>205.11509000000001</v>
      </c>
      <c r="H41" s="33">
        <v>301.40368999999998</v>
      </c>
      <c r="I41" s="19">
        <f>'[1]14 MNFGCs'!AF24/1000</f>
        <v>287.94862999999992</v>
      </c>
      <c r="J41" s="19">
        <f>'[1]14 MNFGCs'!AI24/1000</f>
        <v>307.50664999999998</v>
      </c>
      <c r="K41" s="19">
        <f>'[1]14 MNFGCs'!AL24/1000</f>
        <v>293.49257</v>
      </c>
      <c r="L41" s="19">
        <f>'[1]14 MNFGCs'!AS24/1000</f>
        <v>460.08580000000012</v>
      </c>
      <c r="M41" s="19">
        <v>303.97748999999999</v>
      </c>
      <c r="N41" s="19">
        <v>361.19134000000003</v>
      </c>
      <c r="O41" s="19">
        <v>351.98084999999998</v>
      </c>
      <c r="P41" s="19">
        <v>417.86723000000001</v>
      </c>
      <c r="Q41" s="19">
        <v>377.53500000000003</v>
      </c>
      <c r="R41" s="19">
        <v>377.13999000000001</v>
      </c>
      <c r="S41" s="19">
        <v>352.51997</v>
      </c>
      <c r="T41" s="19">
        <v>398.18423999999999</v>
      </c>
      <c r="U41" s="19">
        <v>408.32823000000002</v>
      </c>
      <c r="V41" s="19">
        <v>496.57792999999998</v>
      </c>
      <c r="W41" s="19">
        <v>689.05240000000003</v>
      </c>
      <c r="X41" s="19">
        <v>480.56589000000002</v>
      </c>
      <c r="Y41" s="19">
        <v>447.09895999999998</v>
      </c>
      <c r="Z41" s="19">
        <v>462.07981999999998</v>
      </c>
      <c r="AA41" s="19">
        <v>466.22226000000001</v>
      </c>
      <c r="AB41" s="60">
        <v>494.39832000000001</v>
      </c>
      <c r="AC41" s="19">
        <v>506.82040000000001</v>
      </c>
      <c r="AD41" s="19">
        <v>518.42639999999994</v>
      </c>
      <c r="AE41" s="19">
        <v>510.41863999999998</v>
      </c>
      <c r="AF41" s="19">
        <v>568.24730999999997</v>
      </c>
      <c r="AG41" s="19">
        <v>586.10470999999995</v>
      </c>
      <c r="AH41" s="19">
        <v>620.70582000000002</v>
      </c>
      <c r="AI41" s="19">
        <v>942.17290000000003</v>
      </c>
      <c r="AJ41" s="19">
        <v>938.11152000000004</v>
      </c>
      <c r="AK41" s="19">
        <v>1242.4119000000001</v>
      </c>
      <c r="AL41" s="19">
        <v>1260.9833699999999</v>
      </c>
      <c r="AM41" s="19">
        <v>1254.1702499999999</v>
      </c>
      <c r="AN41" s="19">
        <v>1287.58276</v>
      </c>
      <c r="AO41" s="19">
        <v>1272.06167</v>
      </c>
      <c r="AP41" s="33">
        <v>1325.29657</v>
      </c>
      <c r="AQ41" s="33">
        <v>1354.0856000000001</v>
      </c>
      <c r="AR41" s="19">
        <v>1383.0414000000001</v>
      </c>
      <c r="AS41" s="19">
        <v>1388.4496999999999</v>
      </c>
      <c r="AT41" s="61">
        <v>1360.1383499999999</v>
      </c>
      <c r="AU41" s="61">
        <v>1354.32321</v>
      </c>
      <c r="AV41" s="61">
        <v>1310.86763</v>
      </c>
      <c r="AW41" s="61">
        <v>1307.14951</v>
      </c>
      <c r="AX41" s="61">
        <v>1278.54141</v>
      </c>
      <c r="AY41" s="61">
        <v>1280.83572</v>
      </c>
    </row>
    <row r="42" spans="1:52" ht="16.5">
      <c r="A42" s="41"/>
      <c r="B42" s="41"/>
      <c r="C42" s="41" t="s">
        <v>11</v>
      </c>
      <c r="D42" s="41"/>
      <c r="E42" s="58">
        <v>1472.1451300000001</v>
      </c>
      <c r="F42" s="19">
        <v>1491.21101</v>
      </c>
      <c r="G42" s="59">
        <v>1496.17435</v>
      </c>
      <c r="H42" s="33">
        <v>1244.67912</v>
      </c>
      <c r="I42" s="19">
        <f>'[1]14 MNFGCs'!AG24/1000</f>
        <v>1204.8471999999999</v>
      </c>
      <c r="J42" s="19">
        <f>'[1]14 MNFGCs'!AJ24/1000</f>
        <v>1209.1204700000003</v>
      </c>
      <c r="K42" s="19">
        <f>'[1]14 MNFGCs'!AM24/1000</f>
        <v>1236.9436400000002</v>
      </c>
      <c r="L42" s="19">
        <f>'[1]14 MNFGCs'!AT24/1000</f>
        <v>1113.4176999999997</v>
      </c>
      <c r="M42" s="19">
        <v>1115.8562300000001</v>
      </c>
      <c r="N42" s="19">
        <v>1127.713</v>
      </c>
      <c r="O42" s="19">
        <v>1053.89879</v>
      </c>
      <c r="P42" s="19">
        <v>1032.83332</v>
      </c>
      <c r="Q42" s="19">
        <v>1004.67473</v>
      </c>
      <c r="R42" s="19">
        <v>948.60549000000003</v>
      </c>
      <c r="S42" s="19">
        <v>920.83163000000002</v>
      </c>
      <c r="T42" s="19">
        <v>814.44889000000001</v>
      </c>
      <c r="U42" s="19">
        <v>820.37303999999995</v>
      </c>
      <c r="V42" s="19">
        <v>793.49023999999997</v>
      </c>
      <c r="W42" s="19">
        <v>636.11481000000003</v>
      </c>
      <c r="X42" s="19">
        <v>827.67922999999996</v>
      </c>
      <c r="Y42" s="19">
        <v>823.90139999999997</v>
      </c>
      <c r="Z42" s="19">
        <v>847.19681000000003</v>
      </c>
      <c r="AA42" s="19">
        <v>799.53332</v>
      </c>
      <c r="AB42" s="60">
        <v>819.79453000000001</v>
      </c>
      <c r="AC42" s="19">
        <v>785.46686999999997</v>
      </c>
      <c r="AD42" s="19">
        <v>774.46244000000002</v>
      </c>
      <c r="AE42" s="19">
        <v>711.06533000000002</v>
      </c>
      <c r="AF42" s="19">
        <v>671.11670000000004</v>
      </c>
      <c r="AG42" s="19">
        <v>651.55566999999996</v>
      </c>
      <c r="AH42" s="19">
        <v>648.75153</v>
      </c>
      <c r="AI42" s="19">
        <v>629.27755000000002</v>
      </c>
      <c r="AJ42" s="19">
        <v>608.76922000000002</v>
      </c>
      <c r="AK42" s="19">
        <v>269.90057000000002</v>
      </c>
      <c r="AL42" s="19">
        <v>231.2063</v>
      </c>
      <c r="AM42" s="19">
        <v>230.00244000000001</v>
      </c>
      <c r="AN42" s="19">
        <v>221.08133000000001</v>
      </c>
      <c r="AO42" s="19">
        <v>211.06901999999999</v>
      </c>
      <c r="AP42" s="33">
        <v>219.81554</v>
      </c>
      <c r="AQ42" s="33">
        <v>216.05837</v>
      </c>
      <c r="AR42" s="19">
        <v>216.81881999999999</v>
      </c>
      <c r="AS42" s="19">
        <v>215.63972999999999</v>
      </c>
      <c r="AT42" s="61">
        <v>207.98483999999999</v>
      </c>
      <c r="AU42" s="61">
        <v>207.71741</v>
      </c>
      <c r="AV42" s="61">
        <v>196.22802999999999</v>
      </c>
      <c r="AW42" s="61">
        <v>193.56278</v>
      </c>
      <c r="AX42" s="61">
        <v>194.38219000000001</v>
      </c>
      <c r="AY42" s="61">
        <v>199.78011000000001</v>
      </c>
    </row>
    <row r="43" spans="1:52" ht="16.5">
      <c r="A43" s="2"/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2"/>
      <c r="O43" s="2"/>
      <c r="P43" s="2"/>
      <c r="Q43" s="2"/>
      <c r="R43" s="2"/>
      <c r="S43" s="2"/>
      <c r="T43" s="2"/>
      <c r="U43" s="3"/>
      <c r="V43" s="3"/>
      <c r="W43" s="3"/>
      <c r="X43" s="3"/>
      <c r="Y43" s="3"/>
      <c r="Z43" s="3"/>
      <c r="AA43" s="3"/>
      <c r="AB43" s="2"/>
      <c r="AC43" s="2"/>
      <c r="AD43" s="2"/>
      <c r="AE43" s="2"/>
      <c r="AF43" s="2"/>
      <c r="AG43" s="2"/>
      <c r="AH43" s="2"/>
      <c r="AI43" s="2"/>
      <c r="AJ43" s="2"/>
      <c r="AK43" s="4"/>
      <c r="AL43" s="4"/>
      <c r="AM43" s="4"/>
      <c r="AN43" s="4"/>
      <c r="AO43" s="4"/>
      <c r="AP43" s="4"/>
      <c r="AQ43" s="4"/>
      <c r="AR43" s="4"/>
      <c r="AS43" s="4"/>
    </row>
    <row r="44" spans="1:52" ht="16.5">
      <c r="A44" s="11" t="s">
        <v>29</v>
      </c>
      <c r="B44" s="12" t="s">
        <v>30</v>
      </c>
      <c r="C44" s="12"/>
      <c r="D44" s="12"/>
      <c r="E44" s="13">
        <f t="shared" ref="E44:AZ44" si="44">E45+E46</f>
        <v>4859.2641797923407</v>
      </c>
      <c r="F44" s="13">
        <f t="shared" si="44"/>
        <v>4886.8773947808795</v>
      </c>
      <c r="G44" s="13">
        <f t="shared" si="44"/>
        <v>5053.0408297338699</v>
      </c>
      <c r="H44" s="13">
        <f t="shared" si="44"/>
        <v>4915.5510919999997</v>
      </c>
      <c r="I44" s="13">
        <f t="shared" si="44"/>
        <v>4898.2945589999999</v>
      </c>
      <c r="J44" s="13">
        <f t="shared" si="44"/>
        <v>4975.4422169399904</v>
      </c>
      <c r="K44" s="13">
        <f t="shared" si="44"/>
        <v>5078.5566132988406</v>
      </c>
      <c r="L44" s="13">
        <f t="shared" si="44"/>
        <v>4932.9589856996499</v>
      </c>
      <c r="M44" s="13">
        <f t="shared" si="44"/>
        <v>4822.0023504420697</v>
      </c>
      <c r="N44" s="13">
        <f t="shared" si="44"/>
        <v>4875.2874216856899</v>
      </c>
      <c r="O44" s="13">
        <f t="shared" si="44"/>
        <v>4713.9681745532498</v>
      </c>
      <c r="P44" s="13">
        <f t="shared" si="44"/>
        <v>4680.7238207445998</v>
      </c>
      <c r="Q44" s="13">
        <f t="shared" si="44"/>
        <v>4656.4838964914998</v>
      </c>
      <c r="R44" s="13">
        <f t="shared" si="44"/>
        <v>4415.4617396792801</v>
      </c>
      <c r="S44" s="13">
        <f t="shared" si="44"/>
        <v>4418.0643180372699</v>
      </c>
      <c r="T44" s="13">
        <f t="shared" si="44"/>
        <v>4256.8764029436597</v>
      </c>
      <c r="U44" s="13">
        <f t="shared" si="44"/>
        <v>4325.29068718291</v>
      </c>
      <c r="V44" s="13">
        <f t="shared" si="44"/>
        <v>4470.5997272411296</v>
      </c>
      <c r="W44" s="13">
        <f t="shared" si="44"/>
        <v>4630.2329734016303</v>
      </c>
      <c r="X44" s="13">
        <f t="shared" si="44"/>
        <v>4714.7463928716797</v>
      </c>
      <c r="Y44" s="13">
        <f t="shared" si="44"/>
        <v>4708.1083944249394</v>
      </c>
      <c r="Z44" s="13">
        <f t="shared" si="44"/>
        <v>4750.7503211234998</v>
      </c>
      <c r="AA44" s="13">
        <f t="shared" si="44"/>
        <v>4786.5225038651997</v>
      </c>
      <c r="AB44" s="13">
        <f t="shared" si="44"/>
        <v>4869.9003984216906</v>
      </c>
      <c r="AC44" s="13">
        <f t="shared" si="44"/>
        <v>4813.2813010238897</v>
      </c>
      <c r="AD44" s="13">
        <f t="shared" si="44"/>
        <v>4948.2287430946499</v>
      </c>
      <c r="AE44" s="13">
        <f t="shared" si="44"/>
        <v>4994.4541681352302</v>
      </c>
      <c r="AF44" s="13">
        <f t="shared" si="44"/>
        <v>5038.7291744796003</v>
      </c>
      <c r="AG44" s="13">
        <f t="shared" si="44"/>
        <v>5218.4207975073095</v>
      </c>
      <c r="AH44" s="13">
        <f t="shared" si="44"/>
        <v>5302.4309881607496</v>
      </c>
      <c r="AI44" s="13">
        <f t="shared" si="44"/>
        <v>5667.2613118955496</v>
      </c>
      <c r="AJ44" s="13">
        <f t="shared" si="44"/>
        <v>5567.2436442563103</v>
      </c>
      <c r="AK44" s="13">
        <f t="shared" si="44"/>
        <v>5710.5593127900302</v>
      </c>
      <c r="AL44" s="13">
        <f t="shared" si="44"/>
        <v>5645.4386382682751</v>
      </c>
      <c r="AM44" s="13">
        <f t="shared" si="44"/>
        <v>5636.4509135212302</v>
      </c>
      <c r="AN44" s="13">
        <f t="shared" si="44"/>
        <v>5797.3419759245407</v>
      </c>
      <c r="AO44" s="13">
        <f t="shared" si="44"/>
        <v>5638.6977112868099</v>
      </c>
      <c r="AP44" s="13">
        <f t="shared" si="44"/>
        <v>5857.1344932170505</v>
      </c>
      <c r="AQ44" s="13">
        <f t="shared" si="44"/>
        <v>6038.4850723147501</v>
      </c>
      <c r="AR44" s="13">
        <f t="shared" si="44"/>
        <v>6129.7268650163696</v>
      </c>
      <c r="AS44" s="13">
        <f t="shared" si="44"/>
        <v>6094.4849409425697</v>
      </c>
      <c r="AT44" s="13">
        <f t="shared" si="44"/>
        <v>6069.2265494015992</v>
      </c>
      <c r="AU44" s="13">
        <f t="shared" si="44"/>
        <v>6147.5455403807591</v>
      </c>
      <c r="AV44" s="13">
        <f t="shared" si="44"/>
        <v>6109.6420580683398</v>
      </c>
      <c r="AW44" s="13">
        <f t="shared" si="44"/>
        <v>6150.6108099687299</v>
      </c>
      <c r="AX44" s="13">
        <f t="shared" si="44"/>
        <v>6160.5230198354993</v>
      </c>
      <c r="AY44" s="13">
        <f t="shared" si="44"/>
        <v>6299.2078365522902</v>
      </c>
      <c r="AZ44" s="13">
        <f t="shared" si="44"/>
        <v>0</v>
      </c>
    </row>
    <row r="45" spans="1:52" ht="16.5">
      <c r="A45" s="2"/>
      <c r="B45" s="2"/>
      <c r="C45" s="2" t="s">
        <v>10</v>
      </c>
      <c r="D45" s="1"/>
      <c r="E45" s="22">
        <f t="shared" ref="E45:AV46" si="45">E38+E41</f>
        <v>1629.53891979234</v>
      </c>
      <c r="F45" s="22">
        <f t="shared" si="45"/>
        <v>1639.3452907808796</v>
      </c>
      <c r="G45" s="22">
        <f t="shared" si="45"/>
        <v>1738.73243973387</v>
      </c>
      <c r="H45" s="22">
        <f t="shared" si="45"/>
        <v>1814.7511600000003</v>
      </c>
      <c r="I45" s="22">
        <f t="shared" si="45"/>
        <v>1842.9977939999999</v>
      </c>
      <c r="J45" s="22">
        <f t="shared" si="45"/>
        <v>1870.0064219399901</v>
      </c>
      <c r="K45" s="22">
        <f t="shared" si="45"/>
        <v>1928.4384602988403</v>
      </c>
      <c r="L45" s="22">
        <f t="shared" si="45"/>
        <v>2060.44128049969</v>
      </c>
      <c r="M45" s="22">
        <f t="shared" si="45"/>
        <v>1900.3933829164098</v>
      </c>
      <c r="N45" s="22">
        <f t="shared" si="45"/>
        <v>1898.7567095302304</v>
      </c>
      <c r="O45" s="22">
        <f t="shared" si="45"/>
        <v>1885.45230962604</v>
      </c>
      <c r="P45" s="22">
        <f t="shared" si="45"/>
        <v>1946.7138782257898</v>
      </c>
      <c r="Q45" s="22">
        <f t="shared" si="45"/>
        <v>1894.8920238845299</v>
      </c>
      <c r="R45" s="22">
        <f t="shared" si="45"/>
        <v>1805.3179860581799</v>
      </c>
      <c r="S45" s="22">
        <f t="shared" si="45"/>
        <v>1873.3651303854801</v>
      </c>
      <c r="T45" s="22">
        <f t="shared" si="45"/>
        <v>1932.8972055784</v>
      </c>
      <c r="U45" s="22">
        <f t="shared" si="45"/>
        <v>1910.94864717563</v>
      </c>
      <c r="V45" s="22">
        <f t="shared" si="45"/>
        <v>2017.6966257927597</v>
      </c>
      <c r="W45" s="22">
        <f t="shared" si="45"/>
        <v>2264.0783042470403</v>
      </c>
      <c r="X45" s="22">
        <f t="shared" si="45"/>
        <v>2081.63095654279</v>
      </c>
      <c r="Y45" s="22">
        <f t="shared" si="45"/>
        <v>2044.0727224971099</v>
      </c>
      <c r="Z45" s="22">
        <f t="shared" si="45"/>
        <v>2054.0169155919298</v>
      </c>
      <c r="AA45" s="22">
        <f t="shared" si="45"/>
        <v>2076.1097776947099</v>
      </c>
      <c r="AB45" s="22">
        <f t="shared" si="45"/>
        <v>2126.1791097279502</v>
      </c>
      <c r="AC45" s="22">
        <f t="shared" si="45"/>
        <v>2105.4825437080199</v>
      </c>
      <c r="AD45" s="22">
        <f t="shared" si="45"/>
        <v>2186.1512293739097</v>
      </c>
      <c r="AE45" s="22">
        <f t="shared" si="45"/>
        <v>2316.9317861385402</v>
      </c>
      <c r="AF45" s="22">
        <f t="shared" si="45"/>
        <v>2425.3224233212104</v>
      </c>
      <c r="AG45" s="22">
        <f t="shared" si="45"/>
        <v>2527.41110265208</v>
      </c>
      <c r="AH45" s="22">
        <f t="shared" si="45"/>
        <v>2601.8722651490598</v>
      </c>
      <c r="AI45" s="22">
        <f t="shared" si="45"/>
        <v>2947.7251443777295</v>
      </c>
      <c r="AJ45" s="22">
        <f t="shared" si="45"/>
        <v>2939.17043243738</v>
      </c>
      <c r="AK45" s="22">
        <f t="shared" si="45"/>
        <v>3366.73974279003</v>
      </c>
      <c r="AL45" s="22">
        <f t="shared" si="45"/>
        <v>3363.6853382682752</v>
      </c>
      <c r="AM45" s="22">
        <f t="shared" si="45"/>
        <v>3378.2554735212298</v>
      </c>
      <c r="AN45" s="22">
        <f t="shared" si="45"/>
        <v>3683.5316459245405</v>
      </c>
      <c r="AO45" s="22">
        <f t="shared" si="45"/>
        <v>3624.5879912868104</v>
      </c>
      <c r="AP45" s="22">
        <f t="shared" si="45"/>
        <v>3764.4434832170505</v>
      </c>
      <c r="AQ45" s="22">
        <f t="shared" si="45"/>
        <v>3967.4197023147499</v>
      </c>
      <c r="AR45" s="22">
        <f t="shared" si="45"/>
        <v>4044.4170450163701</v>
      </c>
      <c r="AS45" s="22">
        <f t="shared" si="45"/>
        <v>3991.0244009425696</v>
      </c>
      <c r="AT45" s="22">
        <f t="shared" si="45"/>
        <v>4020.1499094015999</v>
      </c>
      <c r="AU45" s="22">
        <f t="shared" si="45"/>
        <v>4055.5035603807596</v>
      </c>
      <c r="AV45" s="22">
        <f t="shared" si="45"/>
        <v>4076.9187580683401</v>
      </c>
      <c r="AW45" s="22">
        <f t="shared" ref="AW45:AZ45" si="46">AW38+AW41</f>
        <v>4101.5500299687301</v>
      </c>
      <c r="AX45" s="22">
        <f t="shared" si="46"/>
        <v>4069.7296298354995</v>
      </c>
      <c r="AY45" s="22">
        <f t="shared" si="46"/>
        <v>4130.30152763969</v>
      </c>
      <c r="AZ45" s="22">
        <f t="shared" si="46"/>
        <v>0</v>
      </c>
    </row>
    <row r="46" spans="1:52" ht="16.5">
      <c r="A46" s="2"/>
      <c r="B46" s="2"/>
      <c r="C46" s="2" t="s">
        <v>11</v>
      </c>
      <c r="D46" s="2"/>
      <c r="E46" s="22">
        <f t="shared" si="45"/>
        <v>3229.7252600000002</v>
      </c>
      <c r="F46" s="22">
        <f t="shared" si="45"/>
        <v>3247.5321039999999</v>
      </c>
      <c r="G46" s="22">
        <f t="shared" si="45"/>
        <v>3314.3083900000001</v>
      </c>
      <c r="H46" s="22">
        <f t="shared" si="45"/>
        <v>3100.7999319999999</v>
      </c>
      <c r="I46" s="22">
        <f t="shared" si="45"/>
        <v>3055.2967650000001</v>
      </c>
      <c r="J46" s="22">
        <f t="shared" si="45"/>
        <v>3105.4357950000003</v>
      </c>
      <c r="K46" s="22">
        <f t="shared" si="45"/>
        <v>3150.1181530000003</v>
      </c>
      <c r="L46" s="22">
        <f t="shared" si="45"/>
        <v>2872.5177051999599</v>
      </c>
      <c r="M46" s="22">
        <f t="shared" si="45"/>
        <v>2921.6089675256603</v>
      </c>
      <c r="N46" s="22">
        <f t="shared" si="45"/>
        <v>2976.5307121554597</v>
      </c>
      <c r="O46" s="22">
        <f t="shared" si="45"/>
        <v>2828.5158649272098</v>
      </c>
      <c r="P46" s="22">
        <f t="shared" si="45"/>
        <v>2734.00994251881</v>
      </c>
      <c r="Q46" s="22">
        <f t="shared" si="45"/>
        <v>2761.5918726069704</v>
      </c>
      <c r="R46" s="22">
        <f t="shared" si="45"/>
        <v>2610.1437536211001</v>
      </c>
      <c r="S46" s="22">
        <f t="shared" si="45"/>
        <v>2544.69918765179</v>
      </c>
      <c r="T46" s="22">
        <f t="shared" si="45"/>
        <v>2323.97919736526</v>
      </c>
      <c r="U46" s="22">
        <f t="shared" si="45"/>
        <v>2414.34204000728</v>
      </c>
      <c r="V46" s="22">
        <f t="shared" si="45"/>
        <v>2452.9031014483703</v>
      </c>
      <c r="W46" s="22">
        <f t="shared" si="45"/>
        <v>2366.15466915459</v>
      </c>
      <c r="X46" s="22">
        <f t="shared" si="45"/>
        <v>2633.1154363288897</v>
      </c>
      <c r="Y46" s="22">
        <f t="shared" si="45"/>
        <v>2664.0356719278298</v>
      </c>
      <c r="Z46" s="22">
        <f t="shared" si="45"/>
        <v>2696.73340553157</v>
      </c>
      <c r="AA46" s="22">
        <f t="shared" si="45"/>
        <v>2710.4127261704898</v>
      </c>
      <c r="AB46" s="22">
        <f t="shared" si="45"/>
        <v>2743.72128869374</v>
      </c>
      <c r="AC46" s="22">
        <f t="shared" si="45"/>
        <v>2707.7987573158698</v>
      </c>
      <c r="AD46" s="22">
        <f t="shared" si="45"/>
        <v>2762.0775137207402</v>
      </c>
      <c r="AE46" s="22">
        <f t="shared" si="45"/>
        <v>2677.52238199669</v>
      </c>
      <c r="AF46" s="22">
        <f t="shared" si="45"/>
        <v>2613.4067511583899</v>
      </c>
      <c r="AG46" s="22">
        <f t="shared" si="45"/>
        <v>2691.00969485523</v>
      </c>
      <c r="AH46" s="22">
        <f t="shared" si="45"/>
        <v>2700.5587230116898</v>
      </c>
      <c r="AI46" s="22">
        <f t="shared" si="45"/>
        <v>2719.5361675178201</v>
      </c>
      <c r="AJ46" s="22">
        <f t="shared" si="45"/>
        <v>2628.0732118189303</v>
      </c>
      <c r="AK46" s="22">
        <f t="shared" si="45"/>
        <v>2343.8195699999997</v>
      </c>
      <c r="AL46" s="22">
        <f t="shared" si="45"/>
        <v>2281.7532999999999</v>
      </c>
      <c r="AM46" s="22">
        <f t="shared" si="45"/>
        <v>2258.19544</v>
      </c>
      <c r="AN46" s="22">
        <f t="shared" si="45"/>
        <v>2113.8103300000002</v>
      </c>
      <c r="AO46" s="22">
        <f t="shared" si="45"/>
        <v>2014.1097199999999</v>
      </c>
      <c r="AP46" s="22">
        <f t="shared" si="45"/>
        <v>2092.69101</v>
      </c>
      <c r="AQ46" s="22">
        <f t="shared" si="45"/>
        <v>2071.0653700000003</v>
      </c>
      <c r="AR46" s="22">
        <f t="shared" si="45"/>
        <v>2085.3098199999999</v>
      </c>
      <c r="AS46" s="22">
        <f t="shared" si="45"/>
        <v>2103.46054</v>
      </c>
      <c r="AT46" s="22">
        <f t="shared" si="45"/>
        <v>2049.0766399999998</v>
      </c>
      <c r="AU46" s="22">
        <f t="shared" si="45"/>
        <v>2092.04198</v>
      </c>
      <c r="AV46" s="22">
        <f t="shared" si="45"/>
        <v>2032.7232999999999</v>
      </c>
      <c r="AW46" s="22">
        <f t="shared" ref="AW46:AZ46" si="47">AW39+AW42</f>
        <v>2049.0607800000002</v>
      </c>
      <c r="AX46" s="22">
        <f t="shared" si="47"/>
        <v>2090.7933899999998</v>
      </c>
      <c r="AY46" s="22">
        <f t="shared" si="47"/>
        <v>2168.9063089126003</v>
      </c>
      <c r="AZ46" s="22">
        <f t="shared" si="47"/>
        <v>0</v>
      </c>
    </row>
    <row r="47" spans="1:52" ht="16.5">
      <c r="A47" s="2"/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2"/>
      <c r="N47" s="2"/>
      <c r="O47" s="2"/>
      <c r="P47" s="2"/>
      <c r="Q47" s="2"/>
      <c r="R47" s="2"/>
      <c r="S47" s="2"/>
      <c r="T47" s="2"/>
      <c r="U47" s="3"/>
      <c r="V47" s="3"/>
      <c r="W47" s="3"/>
      <c r="X47" s="3"/>
      <c r="Y47" s="3"/>
      <c r="Z47" s="3"/>
      <c r="AA47" s="3"/>
      <c r="AB47" s="2"/>
      <c r="AC47" s="2"/>
      <c r="AD47" s="2"/>
      <c r="AE47" s="2"/>
      <c r="AF47" s="2"/>
      <c r="AG47" s="2"/>
      <c r="AH47" s="2"/>
      <c r="AI47" s="2"/>
      <c r="AJ47" s="2"/>
      <c r="AK47" s="4"/>
      <c r="AL47" s="4"/>
      <c r="AM47" s="4"/>
      <c r="AN47" s="4"/>
      <c r="AO47" s="4"/>
      <c r="AP47" s="4"/>
      <c r="AQ47" s="4"/>
      <c r="AR47" s="4"/>
      <c r="AS47" s="4"/>
    </row>
    <row r="48" spans="1:52" ht="16.5">
      <c r="A48" s="23" t="s">
        <v>31</v>
      </c>
      <c r="B48" s="46" t="s">
        <v>32</v>
      </c>
      <c r="C48" s="24"/>
      <c r="D48" s="24"/>
      <c r="E48" s="25">
        <f t="shared" ref="E48:AP48" si="48">E49+E53</f>
        <v>370.34199999999998</v>
      </c>
      <c r="F48" s="25">
        <f t="shared" si="48"/>
        <v>396.44</v>
      </c>
      <c r="G48" s="25">
        <f t="shared" si="48"/>
        <v>461.87760000000003</v>
      </c>
      <c r="H48" s="25">
        <f t="shared" si="48"/>
        <v>286.77300000000002</v>
      </c>
      <c r="I48" s="25">
        <f t="shared" si="48"/>
        <v>284.62700000000001</v>
      </c>
      <c r="J48" s="25">
        <f t="shared" si="48"/>
        <v>257.88499999999999</v>
      </c>
      <c r="K48" s="25">
        <f t="shared" si="48"/>
        <v>267.86500000000001</v>
      </c>
      <c r="L48" s="25">
        <f t="shared" si="48"/>
        <v>257.51800000000003</v>
      </c>
      <c r="M48" s="25">
        <f t="shared" si="48"/>
        <v>244.25606675600002</v>
      </c>
      <c r="N48" s="25">
        <f t="shared" si="48"/>
        <v>250.791014582</v>
      </c>
      <c r="O48" s="25">
        <f t="shared" si="48"/>
        <v>234.033972175</v>
      </c>
      <c r="P48" s="25">
        <f t="shared" si="48"/>
        <v>225.73561026100001</v>
      </c>
      <c r="Q48" s="26">
        <f>Q49+Q53</f>
        <v>231.292</v>
      </c>
      <c r="R48" s="25">
        <f t="shared" si="48"/>
        <v>222.33</v>
      </c>
      <c r="S48" s="27">
        <f t="shared" si="48"/>
        <v>230.03200000000001</v>
      </c>
      <c r="T48" s="27">
        <f t="shared" si="48"/>
        <v>230.58100000000002</v>
      </c>
      <c r="U48" s="25">
        <f t="shared" si="48"/>
        <v>237.26700000000002</v>
      </c>
      <c r="V48" s="25">
        <f t="shared" si="48"/>
        <v>231.54599999999999</v>
      </c>
      <c r="W48" s="25">
        <f t="shared" si="48"/>
        <v>212.505</v>
      </c>
      <c r="X48" s="27">
        <f t="shared" si="48"/>
        <v>222.93799999999999</v>
      </c>
      <c r="Y48" s="25">
        <f t="shared" si="48"/>
        <v>245.32499999999999</v>
      </c>
      <c r="Z48" s="26">
        <f t="shared" si="48"/>
        <v>242.63200000000001</v>
      </c>
      <c r="AA48" s="26">
        <f t="shared" si="48"/>
        <v>225.95400000000001</v>
      </c>
      <c r="AB48" s="28">
        <f t="shared" si="48"/>
        <v>211.73599999999999</v>
      </c>
      <c r="AC48" s="28">
        <f t="shared" si="48"/>
        <v>216.72299999999996</v>
      </c>
      <c r="AD48" s="28">
        <f t="shared" si="48"/>
        <v>220.52699999999999</v>
      </c>
      <c r="AE48" s="28">
        <f t="shared" si="48"/>
        <v>219.91399999999999</v>
      </c>
      <c r="AF48" s="28">
        <f t="shared" si="48"/>
        <v>219.31799999999998</v>
      </c>
      <c r="AG48" s="28">
        <f t="shared" si="48"/>
        <v>206.84300000000002</v>
      </c>
      <c r="AH48" s="28">
        <f t="shared" si="48"/>
        <v>208.13199999999998</v>
      </c>
      <c r="AI48" s="28">
        <f t="shared" si="48"/>
        <v>206.536</v>
      </c>
      <c r="AJ48" s="28">
        <f t="shared" si="48"/>
        <v>200.06899999999999</v>
      </c>
      <c r="AK48" s="26">
        <f t="shared" si="48"/>
        <v>203.607</v>
      </c>
      <c r="AL48" s="26">
        <f t="shared" si="48"/>
        <v>201.791</v>
      </c>
      <c r="AM48" s="26">
        <f t="shared" si="48"/>
        <v>203.18700000000001</v>
      </c>
      <c r="AN48" s="29">
        <f t="shared" si="48"/>
        <v>204.00499999999997</v>
      </c>
      <c r="AO48" s="29">
        <f t="shared" si="48"/>
        <v>194.245</v>
      </c>
      <c r="AP48" s="29">
        <f t="shared" si="48"/>
        <v>157.22999999999999</v>
      </c>
      <c r="AQ48" s="29">
        <f>AQ49+AQ52</f>
        <v>166.32</v>
      </c>
      <c r="AR48" s="29">
        <f>AR49+AR53</f>
        <v>215.477</v>
      </c>
      <c r="AS48" s="29">
        <f>AS49+AS53</f>
        <v>215.51600000000002</v>
      </c>
      <c r="AT48" s="30">
        <f>AT49+AT53</f>
        <v>68.437000000000012</v>
      </c>
      <c r="AU48" s="30">
        <f>AU49+AU53</f>
        <v>66.341999999999999</v>
      </c>
      <c r="AV48" s="30">
        <f>AV49+AV53</f>
        <v>61.980000000000004</v>
      </c>
      <c r="AW48" s="30">
        <f t="shared" ref="AW48:AZ48" si="49">AW49+AW53</f>
        <v>60.365000000000002</v>
      </c>
      <c r="AX48" s="30">
        <f t="shared" si="49"/>
        <v>58.386000000000003</v>
      </c>
      <c r="AY48" s="30">
        <f t="shared" si="49"/>
        <v>59.933999999999997</v>
      </c>
      <c r="AZ48" s="30">
        <f t="shared" si="49"/>
        <v>0</v>
      </c>
    </row>
    <row r="49" spans="1:52" ht="16.5">
      <c r="A49" s="11"/>
      <c r="B49" s="62"/>
      <c r="C49" s="12" t="s">
        <v>10</v>
      </c>
      <c r="D49" s="12"/>
      <c r="E49" s="13">
        <f t="shared" ref="E49:Y49" si="50">SUM( E50:E52)</f>
        <v>204.322</v>
      </c>
      <c r="F49" s="13">
        <f t="shared" si="50"/>
        <v>210.096</v>
      </c>
      <c r="G49" s="13">
        <f t="shared" si="50"/>
        <v>217.97399999999999</v>
      </c>
      <c r="H49" s="13">
        <f t="shared" si="50"/>
        <v>241.053</v>
      </c>
      <c r="I49" s="13">
        <f t="shared" si="50"/>
        <v>240.11699999999999</v>
      </c>
      <c r="J49" s="13">
        <f t="shared" si="50"/>
        <v>233.42499999999998</v>
      </c>
      <c r="K49" s="13">
        <f t="shared" si="50"/>
        <v>243.345</v>
      </c>
      <c r="L49" s="13">
        <f t="shared" si="50"/>
        <v>234.298</v>
      </c>
      <c r="M49" s="13">
        <f t="shared" si="50"/>
        <v>236.19606675600002</v>
      </c>
      <c r="N49" s="13">
        <f t="shared" si="50"/>
        <v>242.361014582</v>
      </c>
      <c r="O49" s="13">
        <f t="shared" si="50"/>
        <v>226.103972175</v>
      </c>
      <c r="P49" s="13">
        <f t="shared" si="50"/>
        <v>220.96561026099999</v>
      </c>
      <c r="Q49" s="14">
        <f>SUM( Q50:Q52)</f>
        <v>226.61199999999999</v>
      </c>
      <c r="R49" s="13">
        <f t="shared" si="50"/>
        <v>217.84</v>
      </c>
      <c r="S49" s="15">
        <f t="shared" si="50"/>
        <v>225.66200000000001</v>
      </c>
      <c r="T49" s="15">
        <f t="shared" si="50"/>
        <v>226.56100000000001</v>
      </c>
      <c r="U49" s="13">
        <f t="shared" si="50"/>
        <v>233.20700000000002</v>
      </c>
      <c r="V49" s="13">
        <f t="shared" si="50"/>
        <v>227.20599999999999</v>
      </c>
      <c r="W49" s="13">
        <f t="shared" si="50"/>
        <v>207.95499999999998</v>
      </c>
      <c r="X49" s="16">
        <f t="shared" si="50"/>
        <v>218.31799999999998</v>
      </c>
      <c r="Y49" s="13">
        <f t="shared" si="50"/>
        <v>240.625</v>
      </c>
      <c r="Z49" s="14">
        <f t="shared" ref="Z49:AF49" si="51">SUM( Z50:Z52)</f>
        <v>237.94200000000001</v>
      </c>
      <c r="AA49" s="14">
        <f t="shared" si="51"/>
        <v>221.334</v>
      </c>
      <c r="AB49" s="16">
        <f t="shared" si="51"/>
        <v>207.26599999999999</v>
      </c>
      <c r="AC49" s="14">
        <f t="shared" si="51"/>
        <v>212.33299999999997</v>
      </c>
      <c r="AD49" s="14">
        <f t="shared" si="51"/>
        <v>216.03699999999998</v>
      </c>
      <c r="AE49" s="14">
        <f t="shared" si="51"/>
        <v>215.654</v>
      </c>
      <c r="AF49" s="14">
        <f t="shared" si="51"/>
        <v>215.05799999999999</v>
      </c>
      <c r="AG49" s="14">
        <f t="shared" ref="AG49:AR49" si="52">SUM( AG50:AG51)</f>
        <v>202.63300000000001</v>
      </c>
      <c r="AH49" s="14">
        <f t="shared" si="52"/>
        <v>203.91199999999998</v>
      </c>
      <c r="AI49" s="14">
        <f t="shared" si="52"/>
        <v>202.30600000000001</v>
      </c>
      <c r="AJ49" s="14">
        <f t="shared" si="52"/>
        <v>195.809</v>
      </c>
      <c r="AK49" s="14">
        <f t="shared" si="52"/>
        <v>199.43700000000001</v>
      </c>
      <c r="AL49" s="14">
        <f t="shared" si="52"/>
        <v>197.691</v>
      </c>
      <c r="AM49" s="14">
        <f t="shared" si="52"/>
        <v>199.12700000000001</v>
      </c>
      <c r="AN49" s="14">
        <f t="shared" si="52"/>
        <v>200.02499999999998</v>
      </c>
      <c r="AO49" s="14">
        <f t="shared" si="52"/>
        <v>190.27500000000001</v>
      </c>
      <c r="AP49" s="14">
        <f t="shared" si="52"/>
        <v>153.03</v>
      </c>
      <c r="AQ49" s="14">
        <f t="shared" si="52"/>
        <v>166.32</v>
      </c>
      <c r="AR49" s="14">
        <f t="shared" si="52"/>
        <v>211.167</v>
      </c>
      <c r="AS49" s="14">
        <f>SUM( AS50:AS51)</f>
        <v>211.15600000000001</v>
      </c>
      <c r="AT49" s="17">
        <f>SUM( AT50:AT51)</f>
        <v>64.187000000000012</v>
      </c>
      <c r="AU49" s="17">
        <f>SUM( AU50:AU51)</f>
        <v>61.981999999999999</v>
      </c>
      <c r="AV49" s="17">
        <f>SUM( AV50:AV51)</f>
        <v>57.64</v>
      </c>
      <c r="AW49" s="17">
        <f t="shared" ref="AW49:AZ49" si="53">SUM( AW50:AW51)</f>
        <v>56.015000000000001</v>
      </c>
      <c r="AX49" s="17">
        <f t="shared" si="53"/>
        <v>54.006</v>
      </c>
      <c r="AY49" s="17">
        <f t="shared" si="53"/>
        <v>55.384</v>
      </c>
      <c r="AZ49" s="17">
        <f t="shared" si="53"/>
        <v>0</v>
      </c>
    </row>
    <row r="50" spans="1:52" ht="16.5">
      <c r="A50" s="2"/>
      <c r="B50" s="2"/>
      <c r="C50" s="2"/>
      <c r="D50" s="2" t="s">
        <v>33</v>
      </c>
      <c r="E50" s="3">
        <v>86.96</v>
      </c>
      <c r="F50" s="3">
        <v>96.48</v>
      </c>
      <c r="G50" s="3">
        <v>101.78</v>
      </c>
      <c r="H50" s="3">
        <v>102.94</v>
      </c>
      <c r="I50" s="3">
        <v>110.16</v>
      </c>
      <c r="J50" s="3">
        <v>105.69</v>
      </c>
      <c r="K50" s="3">
        <v>117.16</v>
      </c>
      <c r="L50" s="3">
        <v>118.36</v>
      </c>
      <c r="M50" s="3">
        <v>124.67</v>
      </c>
      <c r="N50" s="3">
        <v>125.9</v>
      </c>
      <c r="O50" s="3">
        <v>118.9</v>
      </c>
      <c r="P50" s="3">
        <v>118.51</v>
      </c>
      <c r="Q50" s="3">
        <v>124.51</v>
      </c>
      <c r="R50" s="3">
        <v>123.86</v>
      </c>
      <c r="S50" s="19">
        <v>131.02000000000001</v>
      </c>
      <c r="T50" s="19">
        <v>138.19999999999999</v>
      </c>
      <c r="U50" s="3">
        <v>135.33000000000001</v>
      </c>
      <c r="V50" s="3">
        <v>140.22999999999999</v>
      </c>
      <c r="W50" s="42">
        <v>142.41999999999999</v>
      </c>
      <c r="X50" s="19">
        <v>145.72</v>
      </c>
      <c r="Y50" s="3">
        <v>171.49</v>
      </c>
      <c r="Z50" s="3">
        <v>168.92</v>
      </c>
      <c r="AA50" s="42">
        <v>150.57</v>
      </c>
      <c r="AB50" s="19">
        <v>140.16</v>
      </c>
      <c r="AC50" s="3">
        <v>148.63999999999999</v>
      </c>
      <c r="AD50" s="3">
        <v>148.07</v>
      </c>
      <c r="AE50" s="42">
        <v>148.71</v>
      </c>
      <c r="AF50" s="3">
        <v>148.08000000000001</v>
      </c>
      <c r="AG50" s="3">
        <v>137.9</v>
      </c>
      <c r="AH50" s="3">
        <v>138.85</v>
      </c>
      <c r="AI50" s="42">
        <v>135.80000000000001</v>
      </c>
      <c r="AJ50" s="3">
        <v>130.59</v>
      </c>
      <c r="AK50" s="3">
        <v>139.49</v>
      </c>
      <c r="AL50" s="3">
        <v>137.74</v>
      </c>
      <c r="AM50" s="42">
        <v>141.66</v>
      </c>
      <c r="AN50" s="3">
        <v>148.79</v>
      </c>
      <c r="AO50" s="3">
        <v>145.65</v>
      </c>
      <c r="AP50" s="20">
        <v>153.03</v>
      </c>
      <c r="AQ50" s="20">
        <v>166.32</v>
      </c>
      <c r="AR50" s="3">
        <v>170.78</v>
      </c>
      <c r="AS50" s="3">
        <v>172.61</v>
      </c>
      <c r="AT50" s="21">
        <v>27.6</v>
      </c>
      <c r="AU50" s="21">
        <v>27.83</v>
      </c>
      <c r="AV50" s="21">
        <v>27.1</v>
      </c>
      <c r="AW50" s="21">
        <v>27.9</v>
      </c>
      <c r="AX50" s="21">
        <v>26.66</v>
      </c>
      <c r="AY50" s="21">
        <v>27.1</v>
      </c>
    </row>
    <row r="51" spans="1:52" ht="16.5">
      <c r="A51" s="2"/>
      <c r="B51" s="2"/>
      <c r="C51" s="2"/>
      <c r="D51" s="2" t="s">
        <v>34</v>
      </c>
      <c r="E51" s="3">
        <v>117.36199999999999</v>
      </c>
      <c r="F51" s="3">
        <v>113.616</v>
      </c>
      <c r="G51" s="3">
        <v>116.194</v>
      </c>
      <c r="H51" s="3">
        <v>122.252</v>
      </c>
      <c r="I51" s="19">
        <v>116.066</v>
      </c>
      <c r="J51" s="3">
        <v>113.84399999999999</v>
      </c>
      <c r="K51" s="3">
        <v>112.294</v>
      </c>
      <c r="L51" s="3">
        <v>101.623</v>
      </c>
      <c r="M51" s="19">
        <v>97.536000000000001</v>
      </c>
      <c r="N51" s="3">
        <v>102.889</v>
      </c>
      <c r="O51" s="3">
        <v>94.302000000000007</v>
      </c>
      <c r="P51" s="3">
        <v>89.902000000000001</v>
      </c>
      <c r="Q51" s="19">
        <v>90.201999999999998</v>
      </c>
      <c r="R51" s="3">
        <v>82.352999999999994</v>
      </c>
      <c r="S51" s="19">
        <v>83.337999999999994</v>
      </c>
      <c r="T51" s="19">
        <v>77.590999999999994</v>
      </c>
      <c r="U51" s="19">
        <v>87.106999999999999</v>
      </c>
      <c r="V51" s="3">
        <v>86.975999999999999</v>
      </c>
      <c r="W51" s="3">
        <v>65.534999999999997</v>
      </c>
      <c r="X51" s="19">
        <v>72.597999999999999</v>
      </c>
      <c r="Y51" s="19">
        <v>69.135000000000005</v>
      </c>
      <c r="Z51" s="19">
        <v>69.022000000000006</v>
      </c>
      <c r="AA51" s="3">
        <v>70.763999999999996</v>
      </c>
      <c r="AB51" s="19">
        <v>67.105999999999995</v>
      </c>
      <c r="AC51" s="19">
        <v>63.692999999999998</v>
      </c>
      <c r="AD51" s="19">
        <v>67.966999999999999</v>
      </c>
      <c r="AE51" s="3">
        <v>66.944000000000003</v>
      </c>
      <c r="AF51" s="3">
        <v>66.977999999999994</v>
      </c>
      <c r="AG51" s="19">
        <v>64.733000000000004</v>
      </c>
      <c r="AH51" s="19">
        <v>65.061999999999998</v>
      </c>
      <c r="AI51" s="3">
        <v>66.506</v>
      </c>
      <c r="AJ51" s="3">
        <v>65.218999999999994</v>
      </c>
      <c r="AK51" s="19">
        <v>59.947000000000003</v>
      </c>
      <c r="AL51" s="19">
        <v>59.951000000000001</v>
      </c>
      <c r="AM51" s="3">
        <v>57.466999999999999</v>
      </c>
      <c r="AN51" s="3">
        <v>51.234999999999999</v>
      </c>
      <c r="AO51" s="19">
        <v>44.625</v>
      </c>
      <c r="AP51" s="33">
        <v>0</v>
      </c>
      <c r="AQ51" s="33">
        <v>0</v>
      </c>
      <c r="AR51" s="3">
        <v>40.387</v>
      </c>
      <c r="AS51" s="19">
        <v>38.545999999999999</v>
      </c>
      <c r="AT51" s="61">
        <v>36.587000000000003</v>
      </c>
      <c r="AU51" s="61">
        <v>34.152000000000001</v>
      </c>
      <c r="AV51" s="61">
        <v>30.54</v>
      </c>
      <c r="AW51" s="61">
        <v>28.114999999999998</v>
      </c>
      <c r="AX51" s="61">
        <v>27.346</v>
      </c>
      <c r="AY51" s="61">
        <v>28.283999999999999</v>
      </c>
    </row>
    <row r="52" spans="1:52" ht="16.5">
      <c r="A52" s="2"/>
      <c r="B52" s="2"/>
      <c r="C52" s="2"/>
      <c r="D52" s="2" t="s">
        <v>90</v>
      </c>
      <c r="E52" s="32"/>
      <c r="F52" s="32"/>
      <c r="G52" s="32"/>
      <c r="H52" s="32">
        <v>15.861000000000001</v>
      </c>
      <c r="I52" s="19">
        <v>13.891</v>
      </c>
      <c r="J52" s="3">
        <v>13.891</v>
      </c>
      <c r="K52" s="3">
        <v>13.891</v>
      </c>
      <c r="L52" s="19">
        <v>14.315</v>
      </c>
      <c r="M52" s="19">
        <f>2.240969382+11.749097374</f>
        <v>13.990066755999999</v>
      </c>
      <c r="N52" s="3">
        <f>1.822917208+11.749097374</f>
        <v>13.572014582</v>
      </c>
      <c r="O52" s="3">
        <f>1.152874801+11.749097374</f>
        <v>12.901972174999999</v>
      </c>
      <c r="P52" s="3">
        <f>2.602308023+9.951302238</f>
        <v>12.553610260999999</v>
      </c>
      <c r="Q52" s="19">
        <v>11.9</v>
      </c>
      <c r="R52" s="3">
        <v>11.627000000000001</v>
      </c>
      <c r="S52" s="19">
        <v>11.304</v>
      </c>
      <c r="T52" s="19">
        <v>10.77</v>
      </c>
      <c r="U52" s="19">
        <v>10.77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4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</row>
    <row r="53" spans="1:52" ht="16.5">
      <c r="A53" s="12"/>
      <c r="B53" s="12"/>
      <c r="C53" s="12" t="s">
        <v>11</v>
      </c>
      <c r="D53" s="12"/>
      <c r="E53" s="13">
        <f t="shared" ref="E53:Y53" si="54">E54</f>
        <v>166.02</v>
      </c>
      <c r="F53" s="13">
        <f t="shared" si="54"/>
        <v>186.34399999999999</v>
      </c>
      <c r="G53" s="13">
        <f t="shared" si="54"/>
        <v>243.90360000000001</v>
      </c>
      <c r="H53" s="13">
        <f t="shared" si="54"/>
        <v>45.72</v>
      </c>
      <c r="I53" s="13">
        <f t="shared" si="54"/>
        <v>44.51</v>
      </c>
      <c r="J53" s="13">
        <f t="shared" si="54"/>
        <v>24.46</v>
      </c>
      <c r="K53" s="13">
        <f t="shared" si="54"/>
        <v>24.52</v>
      </c>
      <c r="L53" s="13">
        <f t="shared" si="54"/>
        <v>23.22</v>
      </c>
      <c r="M53" s="13">
        <f t="shared" si="54"/>
        <v>8.06</v>
      </c>
      <c r="N53" s="13">
        <f t="shared" si="54"/>
        <v>8.43</v>
      </c>
      <c r="O53" s="13">
        <f t="shared" si="54"/>
        <v>7.93</v>
      </c>
      <c r="P53" s="13">
        <f t="shared" si="54"/>
        <v>4.7699999999999996</v>
      </c>
      <c r="Q53" s="14">
        <f>Q54</f>
        <v>4.68</v>
      </c>
      <c r="R53" s="13">
        <f t="shared" si="54"/>
        <v>4.49</v>
      </c>
      <c r="S53" s="15">
        <f t="shared" si="54"/>
        <v>4.37</v>
      </c>
      <c r="T53" s="15">
        <f t="shared" si="54"/>
        <v>4.0199999999999996</v>
      </c>
      <c r="U53" s="13">
        <f t="shared" si="54"/>
        <v>4.0599999999999996</v>
      </c>
      <c r="V53" s="13">
        <f t="shared" si="54"/>
        <v>4.34</v>
      </c>
      <c r="W53" s="13">
        <f t="shared" si="54"/>
        <v>4.55</v>
      </c>
      <c r="X53" s="16">
        <f t="shared" si="54"/>
        <v>4.62</v>
      </c>
      <c r="Y53" s="14">
        <f t="shared" si="54"/>
        <v>4.7</v>
      </c>
      <c r="Z53" s="14">
        <f>Z54</f>
        <v>4.6900000000000004</v>
      </c>
      <c r="AA53" s="14">
        <f>AA54</f>
        <v>4.62</v>
      </c>
      <c r="AB53" s="16">
        <f>AB54</f>
        <v>4.47</v>
      </c>
      <c r="AC53" s="14">
        <f t="shared" ref="AC53:AP53" si="55">AC54</f>
        <v>4.3899999999999997</v>
      </c>
      <c r="AD53" s="14">
        <f t="shared" si="55"/>
        <v>4.49</v>
      </c>
      <c r="AE53" s="14">
        <f t="shared" si="55"/>
        <v>4.26</v>
      </c>
      <c r="AF53" s="14">
        <f t="shared" si="55"/>
        <v>4.26</v>
      </c>
      <c r="AG53" s="14">
        <f t="shared" si="55"/>
        <v>4.21</v>
      </c>
      <c r="AH53" s="14">
        <f t="shared" si="55"/>
        <v>4.22</v>
      </c>
      <c r="AI53" s="14">
        <f t="shared" si="55"/>
        <v>4.2300000000000004</v>
      </c>
      <c r="AJ53" s="14">
        <f t="shared" si="55"/>
        <v>4.26</v>
      </c>
      <c r="AK53" s="14">
        <f t="shared" si="55"/>
        <v>4.17</v>
      </c>
      <c r="AL53" s="14">
        <f t="shared" si="55"/>
        <v>4.0999999999999996</v>
      </c>
      <c r="AM53" s="14">
        <f t="shared" si="55"/>
        <v>4.0599999999999996</v>
      </c>
      <c r="AN53" s="14">
        <f t="shared" si="55"/>
        <v>3.98</v>
      </c>
      <c r="AO53" s="14">
        <f t="shared" si="55"/>
        <v>3.97</v>
      </c>
      <c r="AP53" s="14">
        <f t="shared" si="55"/>
        <v>4.2</v>
      </c>
      <c r="AQ53" s="14">
        <f t="shared" ref="AQ53:AZ53" si="56">AQ54</f>
        <v>4.2</v>
      </c>
      <c r="AR53" s="14">
        <f t="shared" si="56"/>
        <v>4.3099999999999996</v>
      </c>
      <c r="AS53" s="14">
        <f t="shared" si="56"/>
        <v>4.3600000000000003</v>
      </c>
      <c r="AT53" s="17">
        <f t="shared" si="56"/>
        <v>4.25</v>
      </c>
      <c r="AU53" s="17">
        <f t="shared" si="56"/>
        <v>4.3600000000000003</v>
      </c>
      <c r="AV53" s="17">
        <f t="shared" si="56"/>
        <v>4.34</v>
      </c>
      <c r="AW53" s="17">
        <f t="shared" si="56"/>
        <v>4.3499999999999996</v>
      </c>
      <c r="AX53" s="17">
        <f t="shared" si="56"/>
        <v>4.38</v>
      </c>
      <c r="AY53" s="17">
        <f t="shared" si="56"/>
        <v>4.55</v>
      </c>
      <c r="AZ53" s="17">
        <f t="shared" si="56"/>
        <v>0</v>
      </c>
    </row>
    <row r="54" spans="1:52" ht="16.5">
      <c r="A54" s="2"/>
      <c r="B54" s="2"/>
      <c r="C54" s="2"/>
      <c r="D54" s="2" t="s">
        <v>35</v>
      </c>
      <c r="E54" s="3">
        <f>126.265+34.288+5.467</f>
        <v>166.02</v>
      </c>
      <c r="F54" s="3">
        <f>146.938+33.956+5.45</f>
        <v>186.34399999999999</v>
      </c>
      <c r="G54" s="3">
        <f>203.68+34.759+5.4646</f>
        <v>243.90360000000001</v>
      </c>
      <c r="H54" s="32">
        <v>45.72</v>
      </c>
      <c r="I54" s="3">
        <v>44.51</v>
      </c>
      <c r="J54" s="3">
        <v>24.46</v>
      </c>
      <c r="K54" s="3">
        <v>24.52</v>
      </c>
      <c r="L54" s="3">
        <v>23.22</v>
      </c>
      <c r="M54" s="3">
        <v>8.06</v>
      </c>
      <c r="N54" s="3">
        <v>8.43</v>
      </c>
      <c r="O54" s="3">
        <v>7.93</v>
      </c>
      <c r="P54" s="3">
        <v>4.7699999999999996</v>
      </c>
      <c r="Q54" s="3">
        <v>4.68</v>
      </c>
      <c r="R54" s="3">
        <v>4.49</v>
      </c>
      <c r="S54" s="19">
        <v>4.37</v>
      </c>
      <c r="T54" s="19">
        <v>4.0199999999999996</v>
      </c>
      <c r="U54" s="3">
        <v>4.0599999999999996</v>
      </c>
      <c r="V54" s="3">
        <v>4.34</v>
      </c>
      <c r="W54" s="3">
        <v>4.55</v>
      </c>
      <c r="X54" s="19">
        <v>4.62</v>
      </c>
      <c r="Y54" s="3">
        <v>4.7</v>
      </c>
      <c r="Z54" s="3">
        <v>4.6900000000000004</v>
      </c>
      <c r="AA54" s="3">
        <v>4.62</v>
      </c>
      <c r="AB54" s="19">
        <v>4.47</v>
      </c>
      <c r="AC54" s="3">
        <v>4.3899999999999997</v>
      </c>
      <c r="AD54" s="3">
        <v>4.49</v>
      </c>
      <c r="AE54" s="3">
        <v>4.26</v>
      </c>
      <c r="AF54" s="19">
        <v>4.26</v>
      </c>
      <c r="AG54" s="19">
        <v>4.21</v>
      </c>
      <c r="AH54" s="3">
        <v>4.22</v>
      </c>
      <c r="AI54" s="3">
        <v>4.2300000000000004</v>
      </c>
      <c r="AJ54" s="19">
        <v>4.26</v>
      </c>
      <c r="AK54" s="3">
        <v>4.17</v>
      </c>
      <c r="AL54" s="3">
        <v>4.0999999999999996</v>
      </c>
      <c r="AM54" s="3">
        <v>4.0599999999999996</v>
      </c>
      <c r="AN54" s="19">
        <v>3.98</v>
      </c>
      <c r="AO54" s="3">
        <v>3.97</v>
      </c>
      <c r="AP54" s="20">
        <v>4.2</v>
      </c>
      <c r="AQ54" s="20">
        <v>4.2</v>
      </c>
      <c r="AR54" s="19">
        <v>4.3099999999999996</v>
      </c>
      <c r="AS54" s="3">
        <v>4.3600000000000003</v>
      </c>
      <c r="AT54" s="21">
        <v>4.25</v>
      </c>
      <c r="AU54" s="21">
        <v>4.3600000000000003</v>
      </c>
      <c r="AV54" s="21">
        <v>4.34</v>
      </c>
      <c r="AW54" s="21">
        <v>4.3499999999999996</v>
      </c>
      <c r="AX54" s="21">
        <v>4.38</v>
      </c>
      <c r="AY54" s="21">
        <v>4.55</v>
      </c>
    </row>
    <row r="55" spans="1:52" ht="16.5">
      <c r="A55" s="6"/>
      <c r="B55" s="6"/>
      <c r="C55" s="6"/>
      <c r="D55" s="6"/>
      <c r="E55" s="18"/>
      <c r="F55" s="18"/>
      <c r="G55" s="18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2"/>
      <c r="T55" s="2"/>
      <c r="U55" s="3"/>
      <c r="V55" s="3"/>
      <c r="W55" s="3"/>
      <c r="X55" s="3"/>
      <c r="Y55" s="3"/>
      <c r="Z55" s="3"/>
      <c r="AA55" s="3"/>
      <c r="AB55" s="2"/>
      <c r="AC55" s="2"/>
      <c r="AD55" s="2"/>
      <c r="AE55" s="2"/>
      <c r="AF55" s="2"/>
      <c r="AG55" s="2"/>
      <c r="AH55" s="2"/>
      <c r="AI55" s="2"/>
      <c r="AJ55" s="2"/>
      <c r="AK55" s="4"/>
      <c r="AL55" s="4"/>
      <c r="AM55" s="4"/>
      <c r="AN55" s="4"/>
      <c r="AO55" s="4"/>
      <c r="AP55" s="3"/>
      <c r="AQ55" s="4"/>
      <c r="AR55" s="4"/>
      <c r="AS55" s="4"/>
    </row>
    <row r="56" spans="1:52" ht="16.5">
      <c r="A56" s="63" t="s">
        <v>36</v>
      </c>
      <c r="B56" s="64" t="s">
        <v>37</v>
      </c>
      <c r="C56" s="64"/>
      <c r="D56" s="64"/>
      <c r="E56" s="55">
        <f t="shared" ref="E56:AV56" si="57">E57+E58</f>
        <v>4488.9221797923401</v>
      </c>
      <c r="F56" s="55">
        <f t="shared" si="57"/>
        <v>4490.4373947808799</v>
      </c>
      <c r="G56" s="55">
        <f t="shared" si="57"/>
        <v>4591.1632297338701</v>
      </c>
      <c r="H56" s="55">
        <f t="shared" si="57"/>
        <v>4628.7780920000005</v>
      </c>
      <c r="I56" s="55">
        <f t="shared" si="57"/>
        <v>4613.6675589999995</v>
      </c>
      <c r="J56" s="55">
        <f t="shared" si="57"/>
        <v>4717.5572169399902</v>
      </c>
      <c r="K56" s="55">
        <f t="shared" si="57"/>
        <v>4810.6916132988408</v>
      </c>
      <c r="L56" s="55">
        <f t="shared" si="57"/>
        <v>4675.4409856996499</v>
      </c>
      <c r="M56" s="55">
        <f t="shared" si="57"/>
        <v>4577.7462836860705</v>
      </c>
      <c r="N56" s="55">
        <f t="shared" si="57"/>
        <v>4624.4964071036902</v>
      </c>
      <c r="O56" s="55">
        <f t="shared" si="57"/>
        <v>4479.9342023782501</v>
      </c>
      <c r="P56" s="55">
        <f t="shared" si="57"/>
        <v>4454.9882104835997</v>
      </c>
      <c r="Q56" s="55">
        <f t="shared" si="57"/>
        <v>4425.1918964915003</v>
      </c>
      <c r="R56" s="55">
        <f t="shared" si="57"/>
        <v>4193.1317396792801</v>
      </c>
      <c r="S56" s="55">
        <f t="shared" si="57"/>
        <v>4188.0323180372707</v>
      </c>
      <c r="T56" s="55">
        <f t="shared" si="57"/>
        <v>4026.2954029436601</v>
      </c>
      <c r="U56" s="55">
        <f t="shared" si="57"/>
        <v>4088.0236871829102</v>
      </c>
      <c r="V56" s="55">
        <f t="shared" si="57"/>
        <v>4239.0537272411302</v>
      </c>
      <c r="W56" s="55">
        <f t="shared" si="57"/>
        <v>4417.7279734016302</v>
      </c>
      <c r="X56" s="55">
        <f t="shared" si="57"/>
        <v>4491.8083928716796</v>
      </c>
      <c r="Y56" s="55">
        <f t="shared" si="57"/>
        <v>4462.7833944249396</v>
      </c>
      <c r="Z56" s="55">
        <f t="shared" si="57"/>
        <v>4508.1183211235002</v>
      </c>
      <c r="AA56" s="55">
        <f t="shared" si="57"/>
        <v>4560.5685038652</v>
      </c>
      <c r="AB56" s="55">
        <f t="shared" si="57"/>
        <v>4658.1643984216898</v>
      </c>
      <c r="AC56" s="55">
        <f t="shared" si="57"/>
        <v>4596.5583010238897</v>
      </c>
      <c r="AD56" s="55">
        <f t="shared" si="57"/>
        <v>4727.7017430946498</v>
      </c>
      <c r="AE56" s="55">
        <f t="shared" si="57"/>
        <v>4774.5401681352305</v>
      </c>
      <c r="AF56" s="55">
        <f t="shared" si="57"/>
        <v>4819.4111744796</v>
      </c>
      <c r="AG56" s="55">
        <f t="shared" si="57"/>
        <v>5011.5777975073106</v>
      </c>
      <c r="AH56" s="55">
        <f t="shared" si="57"/>
        <v>5094.29898816075</v>
      </c>
      <c r="AI56" s="55">
        <f t="shared" si="57"/>
        <v>5460.7253118955496</v>
      </c>
      <c r="AJ56" s="55">
        <f t="shared" si="57"/>
        <v>5367.1746442563099</v>
      </c>
      <c r="AK56" s="55">
        <f t="shared" si="57"/>
        <v>5506.9523127900302</v>
      </c>
      <c r="AL56" s="55">
        <f t="shared" si="57"/>
        <v>5443.6476382682758</v>
      </c>
      <c r="AM56" s="55">
        <f t="shared" si="57"/>
        <v>5433.2639135212303</v>
      </c>
      <c r="AN56" s="55">
        <f t="shared" si="57"/>
        <v>5593.3369759245406</v>
      </c>
      <c r="AO56" s="55">
        <f t="shared" si="57"/>
        <v>5444.45271128681</v>
      </c>
      <c r="AP56" s="55">
        <f t="shared" si="57"/>
        <v>5699.9044932170509</v>
      </c>
      <c r="AQ56" s="55">
        <f t="shared" si="57"/>
        <v>5867.9650723147497</v>
      </c>
      <c r="AR56" s="55">
        <f t="shared" si="57"/>
        <v>5914.2498650163707</v>
      </c>
      <c r="AS56" s="55">
        <f t="shared" si="57"/>
        <v>5878.96894094257</v>
      </c>
      <c r="AT56" s="55">
        <f t="shared" si="57"/>
        <v>6000.7895494015993</v>
      </c>
      <c r="AU56" s="55">
        <f t="shared" si="57"/>
        <v>6081.2035403807595</v>
      </c>
      <c r="AV56" s="55">
        <f t="shared" si="57"/>
        <v>6047.6620580683402</v>
      </c>
      <c r="AW56" s="55">
        <f t="shared" ref="AW56:AZ56" si="58">AW57+AW58</f>
        <v>6090.2458099687301</v>
      </c>
      <c r="AX56" s="55">
        <f t="shared" si="58"/>
        <v>6102.1370198354998</v>
      </c>
      <c r="AY56" s="55">
        <f t="shared" si="58"/>
        <v>6239.27383655229</v>
      </c>
      <c r="AZ56" s="55">
        <f t="shared" si="58"/>
        <v>0</v>
      </c>
    </row>
    <row r="57" spans="1:52" ht="16.5">
      <c r="A57" s="5"/>
      <c r="B57" s="5"/>
      <c r="C57" s="5" t="s">
        <v>10</v>
      </c>
      <c r="D57" s="5"/>
      <c r="E57" s="65">
        <f t="shared" ref="E57:X57" si="59">E45-E49</f>
        <v>1425.2169197923399</v>
      </c>
      <c r="F57" s="65">
        <f t="shared" si="59"/>
        <v>1429.2492907808796</v>
      </c>
      <c r="G57" s="65">
        <f t="shared" si="59"/>
        <v>1520.7584397338701</v>
      </c>
      <c r="H57" s="65">
        <f t="shared" si="59"/>
        <v>1573.6981600000004</v>
      </c>
      <c r="I57" s="65">
        <f t="shared" si="59"/>
        <v>1602.8807939999999</v>
      </c>
      <c r="J57" s="65">
        <f t="shared" si="59"/>
        <v>1636.5814219399902</v>
      </c>
      <c r="K57" s="65">
        <f t="shared" si="59"/>
        <v>1685.0934602988402</v>
      </c>
      <c r="L57" s="65">
        <f t="shared" si="59"/>
        <v>1826.14328049969</v>
      </c>
      <c r="M57" s="65">
        <f t="shared" si="59"/>
        <v>1664.1973161604099</v>
      </c>
      <c r="N57" s="65">
        <f t="shared" si="59"/>
        <v>1656.3956949482304</v>
      </c>
      <c r="O57" s="65">
        <f t="shared" si="59"/>
        <v>1659.3483374510399</v>
      </c>
      <c r="P57" s="65">
        <f t="shared" si="59"/>
        <v>1725.7482679647899</v>
      </c>
      <c r="Q57" s="65">
        <f t="shared" si="59"/>
        <v>1668.2800238845298</v>
      </c>
      <c r="R57" s="65">
        <f t="shared" si="59"/>
        <v>1587.47798605818</v>
      </c>
      <c r="S57" s="65">
        <f t="shared" si="59"/>
        <v>1647.7031303854801</v>
      </c>
      <c r="T57" s="65">
        <f t="shared" si="59"/>
        <v>1706.3362055784</v>
      </c>
      <c r="U57" s="65">
        <f t="shared" si="59"/>
        <v>1677.7416471756299</v>
      </c>
      <c r="V57" s="65">
        <f t="shared" si="59"/>
        <v>1790.4906257927598</v>
      </c>
      <c r="W57" s="65">
        <f t="shared" si="59"/>
        <v>2056.1233042470403</v>
      </c>
      <c r="X57" s="65">
        <f t="shared" si="59"/>
        <v>1863.3129565427901</v>
      </c>
      <c r="Y57" s="65">
        <f>Y45-Y49</f>
        <v>1803.4477224971099</v>
      </c>
      <c r="Z57" s="65">
        <f>Z45-Z49</f>
        <v>1816.0749155919298</v>
      </c>
      <c r="AA57" s="65">
        <f>AA45-AA49</f>
        <v>1854.7757776947099</v>
      </c>
      <c r="AB57" s="65">
        <f>AB45-AB49</f>
        <v>1918.9131097279501</v>
      </c>
      <c r="AC57" s="65">
        <f t="shared" ref="AC57:AV57" si="60">AC45-AC49</f>
        <v>1893.1495437080198</v>
      </c>
      <c r="AD57" s="65">
        <f t="shared" si="60"/>
        <v>1970.1142293739097</v>
      </c>
      <c r="AE57" s="65">
        <f t="shared" si="60"/>
        <v>2101.2777861385403</v>
      </c>
      <c r="AF57" s="65">
        <f t="shared" si="60"/>
        <v>2210.2644233212104</v>
      </c>
      <c r="AG57" s="65">
        <f t="shared" si="60"/>
        <v>2324.7781026520802</v>
      </c>
      <c r="AH57" s="65">
        <f t="shared" si="60"/>
        <v>2397.96026514906</v>
      </c>
      <c r="AI57" s="65">
        <f t="shared" si="60"/>
        <v>2745.4191443777295</v>
      </c>
      <c r="AJ57" s="65">
        <f t="shared" si="60"/>
        <v>2743.3614324373798</v>
      </c>
      <c r="AK57" s="65">
        <f t="shared" si="60"/>
        <v>3167.3027427900302</v>
      </c>
      <c r="AL57" s="65">
        <f t="shared" si="60"/>
        <v>3165.9943382682754</v>
      </c>
      <c r="AM57" s="65">
        <f t="shared" si="60"/>
        <v>3179.1284735212298</v>
      </c>
      <c r="AN57" s="65">
        <f t="shared" si="60"/>
        <v>3483.5066459245404</v>
      </c>
      <c r="AO57" s="65">
        <f t="shared" si="60"/>
        <v>3434.3129912868103</v>
      </c>
      <c r="AP57" s="65">
        <f t="shared" si="60"/>
        <v>3611.4134832170503</v>
      </c>
      <c r="AQ57" s="65">
        <f t="shared" si="60"/>
        <v>3801.0997023147497</v>
      </c>
      <c r="AR57" s="65">
        <f t="shared" si="60"/>
        <v>3833.2500450163702</v>
      </c>
      <c r="AS57" s="65">
        <f t="shared" si="60"/>
        <v>3779.8684009425697</v>
      </c>
      <c r="AT57" s="65">
        <f t="shared" si="60"/>
        <v>3955.9629094016</v>
      </c>
      <c r="AU57" s="65">
        <f t="shared" si="60"/>
        <v>3993.5215603807596</v>
      </c>
      <c r="AV57" s="65">
        <f t="shared" si="60"/>
        <v>4019.2787580683403</v>
      </c>
      <c r="AW57" s="65">
        <f t="shared" ref="AW57:AZ57" si="61">AW45-AW49</f>
        <v>4045.5350299687302</v>
      </c>
      <c r="AX57" s="65">
        <f t="shared" si="61"/>
        <v>4015.7236298354997</v>
      </c>
      <c r="AY57" s="65">
        <f t="shared" si="61"/>
        <v>4074.91752763969</v>
      </c>
      <c r="AZ57" s="65">
        <f t="shared" si="61"/>
        <v>0</v>
      </c>
    </row>
    <row r="58" spans="1:52" ht="16.5">
      <c r="A58" s="9"/>
      <c r="B58" s="9"/>
      <c r="C58" s="9" t="s">
        <v>11</v>
      </c>
      <c r="D58" s="9"/>
      <c r="E58" s="66">
        <f t="shared" ref="E58:X58" si="62">E46-E53</f>
        <v>3063.7052600000002</v>
      </c>
      <c r="F58" s="66">
        <f t="shared" si="62"/>
        <v>3061.1881039999998</v>
      </c>
      <c r="G58" s="66">
        <f t="shared" si="62"/>
        <v>3070.40479</v>
      </c>
      <c r="H58" s="66">
        <f t="shared" si="62"/>
        <v>3055.0799320000001</v>
      </c>
      <c r="I58" s="66">
        <f t="shared" si="62"/>
        <v>3010.7867649999998</v>
      </c>
      <c r="J58" s="66">
        <f t="shared" si="62"/>
        <v>3080.9757950000003</v>
      </c>
      <c r="K58" s="66">
        <f t="shared" si="62"/>
        <v>3125.5981530000004</v>
      </c>
      <c r="L58" s="66">
        <f t="shared" si="62"/>
        <v>2849.2977051999601</v>
      </c>
      <c r="M58" s="66">
        <f t="shared" si="62"/>
        <v>2913.5489675256604</v>
      </c>
      <c r="N58" s="66">
        <f t="shared" si="62"/>
        <v>2968.1007121554599</v>
      </c>
      <c r="O58" s="66">
        <f t="shared" si="62"/>
        <v>2820.58586492721</v>
      </c>
      <c r="P58" s="66">
        <f t="shared" si="62"/>
        <v>2729.23994251881</v>
      </c>
      <c r="Q58" s="66">
        <f t="shared" si="62"/>
        <v>2756.9118726069705</v>
      </c>
      <c r="R58" s="66">
        <f t="shared" si="62"/>
        <v>2605.6537536211003</v>
      </c>
      <c r="S58" s="66">
        <f t="shared" si="62"/>
        <v>2540.3291876517901</v>
      </c>
      <c r="T58" s="66">
        <f t="shared" si="62"/>
        <v>2319.95919736526</v>
      </c>
      <c r="U58" s="66">
        <f t="shared" si="62"/>
        <v>2410.2820400072801</v>
      </c>
      <c r="V58" s="66">
        <f t="shared" si="62"/>
        <v>2448.5631014483702</v>
      </c>
      <c r="W58" s="66">
        <f t="shared" si="62"/>
        <v>2361.6046691545898</v>
      </c>
      <c r="X58" s="66">
        <f t="shared" si="62"/>
        <v>2628.4954363288898</v>
      </c>
      <c r="Y58" s="66">
        <f>Y46-Y53</f>
        <v>2659.3356719278299</v>
      </c>
      <c r="Z58" s="66">
        <f>Z46-Z53</f>
        <v>2692.04340553157</v>
      </c>
      <c r="AA58" s="66">
        <f>AA46-AA53</f>
        <v>2705.7927261704899</v>
      </c>
      <c r="AB58" s="66">
        <f>AB46-AB53</f>
        <v>2739.2512886937402</v>
      </c>
      <c r="AC58" s="66">
        <f t="shared" ref="AC58:AV58" si="63">AC46-AC53</f>
        <v>2703.4087573158699</v>
      </c>
      <c r="AD58" s="66">
        <f t="shared" si="63"/>
        <v>2757.5875137207404</v>
      </c>
      <c r="AE58" s="66">
        <f t="shared" si="63"/>
        <v>2673.2623819966898</v>
      </c>
      <c r="AF58" s="66">
        <f t="shared" si="63"/>
        <v>2609.1467511583896</v>
      </c>
      <c r="AG58" s="66">
        <f t="shared" si="63"/>
        <v>2686.79969485523</v>
      </c>
      <c r="AH58" s="66">
        <f t="shared" si="63"/>
        <v>2696.33872301169</v>
      </c>
      <c r="AI58" s="66">
        <f t="shared" si="63"/>
        <v>2715.3061675178201</v>
      </c>
      <c r="AJ58" s="66">
        <f t="shared" si="63"/>
        <v>2623.8132118189301</v>
      </c>
      <c r="AK58" s="66">
        <f t="shared" si="63"/>
        <v>2339.6495699999996</v>
      </c>
      <c r="AL58" s="66">
        <f t="shared" si="63"/>
        <v>2277.6532999999999</v>
      </c>
      <c r="AM58" s="66">
        <f t="shared" si="63"/>
        <v>2254.13544</v>
      </c>
      <c r="AN58" s="66">
        <f t="shared" si="63"/>
        <v>2109.8303300000002</v>
      </c>
      <c r="AO58" s="66">
        <f t="shared" si="63"/>
        <v>2010.1397199999999</v>
      </c>
      <c r="AP58" s="66">
        <f t="shared" si="63"/>
        <v>2088.4910100000002</v>
      </c>
      <c r="AQ58" s="66">
        <f t="shared" si="63"/>
        <v>2066.8653700000004</v>
      </c>
      <c r="AR58" s="66">
        <f t="shared" si="63"/>
        <v>2080.99982</v>
      </c>
      <c r="AS58" s="66">
        <f t="shared" si="63"/>
        <v>2099.1005399999999</v>
      </c>
      <c r="AT58" s="66">
        <f t="shared" si="63"/>
        <v>2044.8266399999998</v>
      </c>
      <c r="AU58" s="66">
        <f t="shared" si="63"/>
        <v>2087.6819799999998</v>
      </c>
      <c r="AV58" s="66">
        <f t="shared" si="63"/>
        <v>2028.3833</v>
      </c>
      <c r="AW58" s="66">
        <f t="shared" ref="AW58:AZ58" si="64">AW46-AW53</f>
        <v>2044.7107800000003</v>
      </c>
      <c r="AX58" s="66">
        <f t="shared" si="64"/>
        <v>2086.4133899999997</v>
      </c>
      <c r="AY58" s="66">
        <f t="shared" si="64"/>
        <v>2164.3563089126001</v>
      </c>
      <c r="AZ58" s="66">
        <f t="shared" si="64"/>
        <v>0</v>
      </c>
    </row>
    <row r="59" spans="1:52" ht="16.5">
      <c r="A59" s="67" t="s">
        <v>38</v>
      </c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2"/>
      <c r="N59" s="2"/>
      <c r="O59" s="2"/>
      <c r="P59" s="2"/>
      <c r="Q59" s="2"/>
      <c r="R59" s="2"/>
      <c r="S59" s="2"/>
      <c r="T59" s="2"/>
      <c r="U59" s="3"/>
      <c r="V59" s="3"/>
      <c r="W59" s="3"/>
      <c r="X59" s="3"/>
      <c r="Y59" s="3"/>
      <c r="Z59" s="3"/>
      <c r="AA59" s="3"/>
      <c r="AB59" s="2"/>
      <c r="AC59" s="2"/>
      <c r="AD59" s="2"/>
      <c r="AE59" s="2"/>
      <c r="AF59" s="2"/>
      <c r="AG59" s="2"/>
      <c r="AH59" s="2"/>
      <c r="AI59" s="2"/>
      <c r="AJ59" s="2"/>
      <c r="AK59" s="4"/>
      <c r="AL59" s="4"/>
      <c r="AM59" s="4"/>
      <c r="AN59" s="4"/>
      <c r="AO59" s="4"/>
      <c r="AP59" s="3"/>
      <c r="AQ59" s="4"/>
      <c r="AR59" s="4"/>
      <c r="AS59" s="4"/>
    </row>
    <row r="60" spans="1:52" ht="16.5">
      <c r="A60" s="68" t="s">
        <v>39</v>
      </c>
      <c r="B60" s="69" t="s">
        <v>40</v>
      </c>
      <c r="C60" s="69"/>
      <c r="D60" s="69"/>
      <c r="E60" s="70">
        <f t="shared" ref="E60:AJ60" si="65">SUM(E61:E62)</f>
        <v>793.53912000000003</v>
      </c>
      <c r="F60" s="70">
        <f t="shared" si="65"/>
        <v>882.37086999999997</v>
      </c>
      <c r="G60" s="70">
        <f t="shared" si="65"/>
        <v>984.42861999999991</v>
      </c>
      <c r="H60" s="70">
        <f t="shared" si="65"/>
        <v>834.03321999999991</v>
      </c>
      <c r="I60" s="70">
        <f t="shared" si="65"/>
        <v>850.56191999999999</v>
      </c>
      <c r="J60" s="70">
        <f t="shared" si="65"/>
        <v>797.73320999999987</v>
      </c>
      <c r="K60" s="70">
        <f t="shared" si="65"/>
        <v>849.29714000000001</v>
      </c>
      <c r="L60" s="70">
        <f t="shared" si="65"/>
        <v>880.38372000000004</v>
      </c>
      <c r="M60" s="70">
        <f t="shared" si="65"/>
        <v>898.64038675600011</v>
      </c>
      <c r="N60" s="70">
        <f t="shared" si="65"/>
        <v>931.79262458200014</v>
      </c>
      <c r="O60" s="70">
        <f t="shared" si="65"/>
        <v>928.95798217499987</v>
      </c>
      <c r="P60" s="70">
        <f t="shared" si="65"/>
        <v>918.46756960875996</v>
      </c>
      <c r="Q60" s="70">
        <f t="shared" si="65"/>
        <v>963.12485355013007</v>
      </c>
      <c r="R60" s="70">
        <f t="shared" si="65"/>
        <v>955.44420000000002</v>
      </c>
      <c r="S60" s="70">
        <f t="shared" si="65"/>
        <v>963.36679098135005</v>
      </c>
      <c r="T60" s="70">
        <f t="shared" si="65"/>
        <v>944.01991462278011</v>
      </c>
      <c r="U60" s="70">
        <f t="shared" si="65"/>
        <v>1068.2762146227801</v>
      </c>
      <c r="V60" s="70">
        <f t="shared" si="65"/>
        <v>1061.25679462278</v>
      </c>
      <c r="W60" s="70">
        <f t="shared" si="65"/>
        <v>1057.6774872984902</v>
      </c>
      <c r="X60" s="70">
        <f t="shared" si="65"/>
        <v>1091.0020332034901</v>
      </c>
      <c r="Y60" s="70">
        <f t="shared" si="65"/>
        <v>1099.95758320349</v>
      </c>
      <c r="Z60" s="70">
        <f t="shared" si="65"/>
        <v>1082.16225532676</v>
      </c>
      <c r="AA60" s="70">
        <f t="shared" si="65"/>
        <v>1100.19638663367</v>
      </c>
      <c r="AB60" s="70">
        <f t="shared" si="65"/>
        <v>1112.0164622473901</v>
      </c>
      <c r="AC60" s="70">
        <f t="shared" si="65"/>
        <v>1217.1231366336699</v>
      </c>
      <c r="AD60" s="70">
        <f t="shared" si="65"/>
        <v>1215.01981387407</v>
      </c>
      <c r="AE60" s="70">
        <f t="shared" si="65"/>
        <v>1176.6471100000001</v>
      </c>
      <c r="AF60" s="70">
        <f t="shared" si="65"/>
        <v>1207.92332670885</v>
      </c>
      <c r="AG60" s="70">
        <f t="shared" si="65"/>
        <v>1001.26830903469</v>
      </c>
      <c r="AH60" s="70">
        <f t="shared" si="65"/>
        <v>1051.81499224954</v>
      </c>
      <c r="AI60" s="70">
        <f t="shared" si="65"/>
        <v>1048.30514985578</v>
      </c>
      <c r="AJ60" s="70">
        <f t="shared" si="65"/>
        <v>1201.6113005693198</v>
      </c>
      <c r="AK60" s="70">
        <f t="shared" ref="AK60:AV60" si="66">SUM(AK61:AK62)</f>
        <v>1164.9684565693201</v>
      </c>
      <c r="AL60" s="70">
        <f t="shared" si="66"/>
        <v>1220.0862272863199</v>
      </c>
      <c r="AM60" s="70">
        <f t="shared" si="66"/>
        <v>1335.2108000993198</v>
      </c>
      <c r="AN60" s="70">
        <f t="shared" si="66"/>
        <v>1425.7870900993203</v>
      </c>
      <c r="AO60" s="70">
        <f t="shared" si="66"/>
        <v>1390.9633819302401</v>
      </c>
      <c r="AP60" s="70">
        <f t="shared" si="66"/>
        <v>1367.5494784457298</v>
      </c>
      <c r="AQ60" s="70">
        <f t="shared" si="66"/>
        <v>1382.49845844573</v>
      </c>
      <c r="AR60" s="70">
        <f t="shared" si="66"/>
        <v>1438.0723899999998</v>
      </c>
      <c r="AS60" s="70">
        <f t="shared" si="66"/>
        <v>1422.8873000000001</v>
      </c>
      <c r="AT60" s="70">
        <f t="shared" si="66"/>
        <v>1287.8757499999999</v>
      </c>
      <c r="AU60" s="70">
        <f t="shared" si="66"/>
        <v>1272.3268514722399</v>
      </c>
      <c r="AV60" s="70">
        <f t="shared" si="66"/>
        <v>1263.1922299999999</v>
      </c>
      <c r="AW60" s="70">
        <f t="shared" ref="AW60:AZ60" si="67">SUM(AW61:AW62)</f>
        <v>1265.601699668</v>
      </c>
      <c r="AX60" s="70">
        <f t="shared" si="67"/>
        <v>1254.5465950282401</v>
      </c>
      <c r="AY60" s="70">
        <f t="shared" si="67"/>
        <v>1246.4586846967397</v>
      </c>
      <c r="AZ60" s="70">
        <f t="shared" si="67"/>
        <v>0</v>
      </c>
    </row>
    <row r="61" spans="1:52" ht="16.5">
      <c r="A61" s="2"/>
      <c r="B61" s="2"/>
      <c r="C61" s="2" t="s">
        <v>10</v>
      </c>
      <c r="D61" s="2"/>
      <c r="E61" s="3">
        <f t="shared" ref="E61:AV61" si="68">E10+E32+E49</f>
        <v>624.94325000000003</v>
      </c>
      <c r="F61" s="3">
        <f t="shared" si="68"/>
        <v>693.05255</v>
      </c>
      <c r="G61" s="3">
        <f t="shared" si="68"/>
        <v>737.4400599999999</v>
      </c>
      <c r="H61" s="3">
        <f t="shared" si="68"/>
        <v>785.21016999999995</v>
      </c>
      <c r="I61" s="3">
        <f t="shared" si="68"/>
        <v>803.01089999999999</v>
      </c>
      <c r="J61" s="3">
        <f t="shared" si="68"/>
        <v>770.06177999999989</v>
      </c>
      <c r="K61" s="3">
        <f t="shared" si="68"/>
        <v>820.72604000000001</v>
      </c>
      <c r="L61" s="3">
        <f t="shared" si="68"/>
        <v>853.27574000000004</v>
      </c>
      <c r="M61" s="3">
        <f t="shared" si="68"/>
        <v>886.75956675600014</v>
      </c>
      <c r="N61" s="3">
        <f t="shared" si="68"/>
        <v>919.32055458200011</v>
      </c>
      <c r="O61" s="3">
        <f t="shared" si="68"/>
        <v>917.14717217499992</v>
      </c>
      <c r="P61" s="3">
        <f t="shared" si="68"/>
        <v>909.86527960875992</v>
      </c>
      <c r="Q61" s="3">
        <f t="shared" si="68"/>
        <v>954.60947355013002</v>
      </c>
      <c r="R61" s="3">
        <f t="shared" si="68"/>
        <v>947.24</v>
      </c>
      <c r="S61" s="3">
        <f t="shared" si="68"/>
        <v>955.31470098135003</v>
      </c>
      <c r="T61" s="3">
        <f t="shared" si="68"/>
        <v>936.56744462278016</v>
      </c>
      <c r="U61" s="3">
        <f t="shared" si="68"/>
        <v>1061.8611346227801</v>
      </c>
      <c r="V61" s="3">
        <f t="shared" si="68"/>
        <v>1054.38181462278</v>
      </c>
      <c r="W61" s="3">
        <f t="shared" si="68"/>
        <v>1050.4100472984901</v>
      </c>
      <c r="X61" s="3">
        <f t="shared" si="68"/>
        <v>1083.6127032034901</v>
      </c>
      <c r="Y61" s="3">
        <f t="shared" si="68"/>
        <v>1092.3679332034901</v>
      </c>
      <c r="Z61" s="3">
        <f t="shared" si="68"/>
        <v>1074.55589532676</v>
      </c>
      <c r="AA61" s="3">
        <f t="shared" si="68"/>
        <v>1090.9833766336701</v>
      </c>
      <c r="AB61" s="3">
        <f t="shared" si="68"/>
        <v>1103.67949224739</v>
      </c>
      <c r="AC61" s="3">
        <f t="shared" si="68"/>
        <v>1212.7331366336698</v>
      </c>
      <c r="AD61" s="3">
        <f t="shared" si="68"/>
        <v>1210.52981387407</v>
      </c>
      <c r="AE61" s="3">
        <f t="shared" si="68"/>
        <v>1172.3871100000001</v>
      </c>
      <c r="AF61" s="3">
        <f t="shared" si="68"/>
        <v>1145.21009670885</v>
      </c>
      <c r="AG61" s="3">
        <f t="shared" si="68"/>
        <v>997.05830903468996</v>
      </c>
      <c r="AH61" s="3">
        <f t="shared" si="68"/>
        <v>1047.5949922495399</v>
      </c>
      <c r="AI61" s="3">
        <f t="shared" si="68"/>
        <v>1044.07514985578</v>
      </c>
      <c r="AJ61" s="3">
        <f t="shared" si="68"/>
        <v>1138.5513005693199</v>
      </c>
      <c r="AK61" s="3">
        <f t="shared" si="68"/>
        <v>1160.79845656932</v>
      </c>
      <c r="AL61" s="3">
        <f t="shared" si="68"/>
        <v>1215.9862272863199</v>
      </c>
      <c r="AM61" s="3">
        <f t="shared" si="68"/>
        <v>1331.1508000993199</v>
      </c>
      <c r="AN61" s="3">
        <f t="shared" si="68"/>
        <v>1345.8070900993202</v>
      </c>
      <c r="AO61" s="3">
        <f t="shared" si="68"/>
        <v>1314.6880819302401</v>
      </c>
      <c r="AP61" s="3">
        <f t="shared" si="68"/>
        <v>1286.6879484457299</v>
      </c>
      <c r="AQ61" s="3">
        <f t="shared" si="68"/>
        <v>1301.20845844573</v>
      </c>
      <c r="AR61" s="3">
        <f t="shared" si="68"/>
        <v>1354.5223899999999</v>
      </c>
      <c r="AS61" s="3">
        <f t="shared" si="68"/>
        <v>1340.2441100000001</v>
      </c>
      <c r="AT61" s="3">
        <f t="shared" si="68"/>
        <v>1205.6305499999999</v>
      </c>
      <c r="AU61" s="3">
        <f t="shared" si="68"/>
        <v>1188.63042147224</v>
      </c>
      <c r="AV61" s="3">
        <f t="shared" si="68"/>
        <v>1180.7085</v>
      </c>
      <c r="AW61" s="3">
        <f t="shared" ref="AW61:AZ61" si="69">AW10+AW32+AW49</f>
        <v>1184.0516996680001</v>
      </c>
      <c r="AX61" s="3">
        <f t="shared" si="69"/>
        <v>1169.67179502824</v>
      </c>
      <c r="AY61" s="3">
        <f t="shared" si="69"/>
        <v>1158.5025046967398</v>
      </c>
      <c r="AZ61" s="3">
        <f t="shared" si="69"/>
        <v>0</v>
      </c>
    </row>
    <row r="62" spans="1:52" ht="16.5">
      <c r="A62" s="2"/>
      <c r="B62" s="2"/>
      <c r="C62" s="2" t="s">
        <v>11</v>
      </c>
      <c r="D62" s="2"/>
      <c r="E62" s="3">
        <f t="shared" ref="E62:L62" si="70">E11+E53</f>
        <v>168.59587000000002</v>
      </c>
      <c r="F62" s="3">
        <f t="shared" si="70"/>
        <v>189.31832</v>
      </c>
      <c r="G62" s="3">
        <f t="shared" si="70"/>
        <v>246.98856000000001</v>
      </c>
      <c r="H62" s="3">
        <f t="shared" si="70"/>
        <v>48.823050000000002</v>
      </c>
      <c r="I62" s="3">
        <f t="shared" si="70"/>
        <v>47.551020000000001</v>
      </c>
      <c r="J62" s="3">
        <f t="shared" si="70"/>
        <v>27.671430000000001</v>
      </c>
      <c r="K62" s="3">
        <f t="shared" si="70"/>
        <v>28.571100000000001</v>
      </c>
      <c r="L62" s="3">
        <f t="shared" si="70"/>
        <v>27.107979999999998</v>
      </c>
      <c r="M62" s="3">
        <f>M11+M54</f>
        <v>11.88082</v>
      </c>
      <c r="N62" s="3">
        <f>N11+N54</f>
        <v>12.472069999999999</v>
      </c>
      <c r="O62" s="3">
        <f>O11+O53</f>
        <v>11.81081</v>
      </c>
      <c r="P62" s="3">
        <f>P11+P53</f>
        <v>8.60229</v>
      </c>
      <c r="Q62" s="3">
        <f>Q11+Q54</f>
        <v>8.5153800000000004</v>
      </c>
      <c r="R62" s="3">
        <f t="shared" ref="R62:X62" si="71">R11+R53</f>
        <v>8.2042000000000002</v>
      </c>
      <c r="S62" s="3">
        <f t="shared" si="71"/>
        <v>8.0520899999999997</v>
      </c>
      <c r="T62" s="3">
        <f t="shared" si="71"/>
        <v>7.4524699999999999</v>
      </c>
      <c r="U62" s="3">
        <f t="shared" si="71"/>
        <v>6.4150799999999997</v>
      </c>
      <c r="V62" s="3">
        <f t="shared" si="71"/>
        <v>6.8749799999999999</v>
      </c>
      <c r="W62" s="3">
        <f t="shared" si="71"/>
        <v>7.2674399999999997</v>
      </c>
      <c r="X62" s="3">
        <f t="shared" si="71"/>
        <v>7.3893300000000002</v>
      </c>
      <c r="Y62" s="3">
        <f t="shared" ref="Y62:AV62" si="72">Y11+Y54</f>
        <v>7.5896500000000007</v>
      </c>
      <c r="Z62" s="3">
        <f t="shared" si="72"/>
        <v>7.6063600000000005</v>
      </c>
      <c r="AA62" s="3">
        <f t="shared" si="72"/>
        <v>9.2130100000000006</v>
      </c>
      <c r="AB62" s="3">
        <f t="shared" si="72"/>
        <v>8.3369699999999991</v>
      </c>
      <c r="AC62" s="3">
        <f t="shared" si="72"/>
        <v>4.3899999999999997</v>
      </c>
      <c r="AD62" s="3">
        <f t="shared" si="72"/>
        <v>4.49</v>
      </c>
      <c r="AE62" s="3">
        <f t="shared" si="72"/>
        <v>4.26</v>
      </c>
      <c r="AF62" s="3">
        <f t="shared" si="72"/>
        <v>62.713229999999996</v>
      </c>
      <c r="AG62" s="3">
        <f t="shared" si="72"/>
        <v>4.21</v>
      </c>
      <c r="AH62" s="3">
        <f t="shared" si="72"/>
        <v>4.22</v>
      </c>
      <c r="AI62" s="3">
        <f t="shared" si="72"/>
        <v>4.2300000000000004</v>
      </c>
      <c r="AJ62" s="3">
        <f t="shared" si="72"/>
        <v>63.059999999999995</v>
      </c>
      <c r="AK62" s="3">
        <f t="shared" si="72"/>
        <v>4.17</v>
      </c>
      <c r="AL62" s="3">
        <f t="shared" si="72"/>
        <v>4.0999999999999996</v>
      </c>
      <c r="AM62" s="3">
        <f t="shared" si="72"/>
        <v>4.0599999999999996</v>
      </c>
      <c r="AN62" s="3">
        <f t="shared" si="72"/>
        <v>79.98</v>
      </c>
      <c r="AO62" s="3">
        <f t="shared" si="72"/>
        <v>76.275300000000001</v>
      </c>
      <c r="AP62" s="3">
        <f t="shared" si="72"/>
        <v>80.861530000000002</v>
      </c>
      <c r="AQ62" s="3">
        <f t="shared" si="72"/>
        <v>81.290000000000006</v>
      </c>
      <c r="AR62" s="3">
        <f t="shared" si="72"/>
        <v>83.55</v>
      </c>
      <c r="AS62" s="3">
        <f t="shared" si="72"/>
        <v>82.643190000000004</v>
      </c>
      <c r="AT62" s="3">
        <f t="shared" si="72"/>
        <v>82.245199999999997</v>
      </c>
      <c r="AU62" s="3">
        <f t="shared" si="72"/>
        <v>83.696429999999992</v>
      </c>
      <c r="AV62" s="3">
        <f t="shared" si="72"/>
        <v>82.483730000000008</v>
      </c>
      <c r="AW62" s="3">
        <f t="shared" ref="AW62:AZ62" si="73">AW11+AW54</f>
        <v>81.55</v>
      </c>
      <c r="AX62" s="3">
        <f t="shared" si="73"/>
        <v>84.874799999999993</v>
      </c>
      <c r="AY62" s="3">
        <f t="shared" si="73"/>
        <v>87.956180000000003</v>
      </c>
      <c r="AZ62" s="3">
        <f t="shared" si="73"/>
        <v>0</v>
      </c>
    </row>
    <row r="63" spans="1:52" ht="16.5">
      <c r="A63" s="71" t="s">
        <v>39</v>
      </c>
      <c r="B63" s="72" t="s">
        <v>41</v>
      </c>
      <c r="C63" s="72"/>
      <c r="D63" s="72"/>
      <c r="E63" s="73">
        <v>4667.75</v>
      </c>
      <c r="F63" s="73">
        <v>4810.6080000000002</v>
      </c>
      <c r="G63" s="73">
        <v>4954.3029999999999</v>
      </c>
      <c r="H63" s="73">
        <v>5120.4350000000004</v>
      </c>
      <c r="I63" s="73">
        <v>5241.6769999999997</v>
      </c>
      <c r="J63" s="73">
        <v>5386.2380000000003</v>
      </c>
      <c r="K63" s="73">
        <v>5519.1279999999997</v>
      </c>
      <c r="L63" s="73">
        <v>5677.75</v>
      </c>
      <c r="M63" s="74">
        <v>5826.0119999999997</v>
      </c>
      <c r="N63" s="74">
        <v>5973.4229999999998</v>
      </c>
      <c r="O63" s="74">
        <v>6110.4979999999996</v>
      </c>
      <c r="P63" s="75">
        <v>6271.1570000000002</v>
      </c>
      <c r="Q63" s="76">
        <v>6406.2060000000001</v>
      </c>
      <c r="R63" s="77">
        <v>6568.2460000000001</v>
      </c>
      <c r="S63" s="77">
        <v>6705.5640000000003</v>
      </c>
      <c r="T63" s="76">
        <v>6892.7209999999995</v>
      </c>
      <c r="U63" s="73">
        <v>7033.0969999999998</v>
      </c>
      <c r="V63" s="77">
        <v>7258.03</v>
      </c>
      <c r="W63" s="77">
        <v>7516.51</v>
      </c>
      <c r="X63" s="76">
        <v>7720.9030000000002</v>
      </c>
      <c r="Y63" s="76">
        <v>7815.4279999999999</v>
      </c>
      <c r="Z63" s="76">
        <v>7868.1819999999998</v>
      </c>
      <c r="AA63" s="78">
        <v>7895.9750000000004</v>
      </c>
      <c r="AB63" s="74">
        <v>8026.143</v>
      </c>
      <c r="AC63" s="76">
        <f>1968.888+1952.87+2295.828+2050.544</f>
        <v>8268.1299999999992</v>
      </c>
      <c r="AD63" s="74">
        <v>8545</v>
      </c>
      <c r="AE63" s="74">
        <v>8769.7000000000007</v>
      </c>
      <c r="AF63" s="74">
        <v>9003.48</v>
      </c>
      <c r="AG63" s="76">
        <v>9193.2309999999998</v>
      </c>
      <c r="AH63" s="76">
        <v>9372.5040000000008</v>
      </c>
      <c r="AI63" s="78">
        <v>9523.0339999999997</v>
      </c>
      <c r="AJ63" s="78">
        <v>9708.3330000000005</v>
      </c>
      <c r="AK63" s="76">
        <f>2425.07+2328.064+2714.904+2414.013</f>
        <v>9882.0509999999995</v>
      </c>
      <c r="AL63" s="76">
        <f>2328.064+2714.904+2414.013+2618.851</f>
        <v>10075.832</v>
      </c>
      <c r="AM63" s="78">
        <f>2714.904+2414.013+2618.851+2555.834</f>
        <v>10303.601999999999</v>
      </c>
      <c r="AN63" s="78">
        <f>2414.013+2618.851+2555.834+2972.391</f>
        <v>10561.089</v>
      </c>
      <c r="AO63" s="76">
        <f>2618.851+2555.834+2972.391+2636.549</f>
        <v>10783.625</v>
      </c>
      <c r="AP63" s="76">
        <f>2555.834+2972.391+2636.549+2851.672</f>
        <v>11016.446</v>
      </c>
      <c r="AQ63" s="76">
        <f>2972.391+2636.549+2851.672+2797.523</f>
        <v>11258.135000000002</v>
      </c>
      <c r="AR63" s="78">
        <v>11542.286</v>
      </c>
      <c r="AS63" s="78">
        <f>2851.672+2797.523+3256.542+2879.481</f>
        <v>11785.217999999999</v>
      </c>
      <c r="AT63" s="76">
        <f>2797.523+3256.542+2879.481+3141.857</f>
        <v>12075.403</v>
      </c>
      <c r="AU63" s="79">
        <f>3256.542+2879.481+3141.857+3046.549</f>
        <v>12324.429</v>
      </c>
      <c r="AV63" s="76">
        <v>12642.736000000001</v>
      </c>
      <c r="AW63" s="76">
        <v>12795.2215682675</v>
      </c>
      <c r="AX63" s="76">
        <v>12965.24</v>
      </c>
      <c r="AY63" s="76">
        <v>13099.962000000001</v>
      </c>
      <c r="AZ63" s="76"/>
    </row>
    <row r="64" spans="1:52" ht="14.1" customHeight="1">
      <c r="A64" s="80" t="s">
        <v>42</v>
      </c>
      <c r="B64" s="80"/>
      <c r="C64" s="80"/>
      <c r="D64" s="81"/>
      <c r="E64" s="82"/>
      <c r="F64" s="2"/>
      <c r="G64" s="2"/>
      <c r="H64" s="2"/>
      <c r="I64" s="3"/>
      <c r="J64" s="2"/>
      <c r="K64" s="3"/>
      <c r="L64" s="8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4.1" customHeight="1">
      <c r="A65" s="2" t="s">
        <v>43</v>
      </c>
      <c r="B65" s="2" t="s">
        <v>44</v>
      </c>
      <c r="C65" s="2"/>
      <c r="D65" s="2"/>
      <c r="E65" s="45"/>
      <c r="F65" s="45"/>
      <c r="G65" s="24"/>
      <c r="H65" s="24"/>
      <c r="I65" s="24"/>
      <c r="J65" s="24"/>
      <c r="K65" s="84"/>
      <c r="L65" s="4"/>
      <c r="M65" s="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4.1" customHeight="1">
      <c r="A66" s="2"/>
      <c r="B66" s="2" t="s">
        <v>45</v>
      </c>
      <c r="C66" s="2"/>
      <c r="D66" s="2"/>
      <c r="E66" s="45"/>
      <c r="F66" s="45"/>
      <c r="G66" s="24"/>
      <c r="H66" s="24"/>
      <c r="I66" s="24"/>
      <c r="J66" s="24"/>
      <c r="K66" s="65"/>
      <c r="L66" s="4"/>
      <c r="M66" s="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4.1" customHeight="1">
      <c r="A67" s="2" t="s">
        <v>46</v>
      </c>
      <c r="B67" s="2" t="s">
        <v>47</v>
      </c>
      <c r="C67" s="2"/>
      <c r="D67" s="2"/>
      <c r="E67" s="3"/>
      <c r="F67" s="3"/>
      <c r="G67" s="3"/>
      <c r="H67" s="22"/>
      <c r="I67" s="2"/>
      <c r="J67" s="2"/>
      <c r="K67" s="65"/>
      <c r="L67" s="4"/>
      <c r="M67" s="85"/>
      <c r="N67" s="85"/>
      <c r="O67" s="85"/>
      <c r="P67" s="85"/>
      <c r="Q67" s="2"/>
      <c r="R67" s="86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4.1" customHeight="1">
      <c r="A68" s="2" t="s">
        <v>48</v>
      </c>
      <c r="B68" s="2" t="s">
        <v>49</v>
      </c>
      <c r="C68" s="4"/>
      <c r="D68" s="4"/>
      <c r="E68" s="3"/>
      <c r="F68" s="3"/>
      <c r="G68" s="3"/>
      <c r="H68" s="22"/>
      <c r="I68" s="2"/>
      <c r="J68" s="24"/>
      <c r="K68" s="2"/>
      <c r="L68" s="4"/>
      <c r="M68" s="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4.1" customHeight="1">
      <c r="A69" s="2" t="s">
        <v>50</v>
      </c>
      <c r="B69" s="2" t="s">
        <v>51</v>
      </c>
      <c r="C69" s="2"/>
      <c r="D69" s="2"/>
      <c r="E69" s="45"/>
      <c r="F69" s="45"/>
      <c r="G69" s="24"/>
      <c r="H69" s="24"/>
      <c r="I69" s="24"/>
      <c r="J69" s="24"/>
      <c r="K69" s="2"/>
      <c r="L69" s="4"/>
      <c r="M69" s="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4.1" customHeight="1">
      <c r="A70" s="2"/>
      <c r="B70" s="2" t="s">
        <v>52</v>
      </c>
      <c r="C70" s="2"/>
      <c r="D70" s="2"/>
      <c r="E70" s="45"/>
      <c r="F70" s="45"/>
      <c r="G70" s="24"/>
      <c r="H70" s="24"/>
      <c r="I70" s="24"/>
      <c r="J70" s="24"/>
      <c r="K70" s="2"/>
      <c r="L70" s="4"/>
      <c r="M70" s="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4.1" customHeight="1">
      <c r="A71" s="2" t="s">
        <v>53</v>
      </c>
      <c r="B71" s="2"/>
      <c r="C71" s="2"/>
      <c r="D71" s="2"/>
      <c r="E71" s="3"/>
      <c r="F71" s="3"/>
      <c r="G71" s="3"/>
      <c r="H71" s="3"/>
      <c r="I71" s="3"/>
      <c r="J71" s="22"/>
      <c r="K71" s="2"/>
      <c r="L71" s="4"/>
      <c r="M71" s="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4.1" customHeight="1">
      <c r="A72" s="2" t="s">
        <v>54</v>
      </c>
      <c r="B72" s="2" t="s">
        <v>55</v>
      </c>
      <c r="C72" s="2"/>
      <c r="D72" s="2"/>
      <c r="E72" s="3"/>
      <c r="F72" s="3"/>
      <c r="G72" s="3"/>
      <c r="H72" s="3"/>
      <c r="I72" s="3"/>
      <c r="J72" s="22"/>
      <c r="K72" s="2"/>
      <c r="L72" s="4"/>
      <c r="M72" s="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4.1" customHeight="1">
      <c r="A73" s="2"/>
      <c r="B73" s="2" t="s">
        <v>56</v>
      </c>
      <c r="C73" s="2"/>
      <c r="D73" s="2"/>
      <c r="E73" s="3"/>
      <c r="F73" s="3"/>
      <c r="G73" s="3"/>
      <c r="H73" s="3"/>
      <c r="I73" s="3"/>
      <c r="J73" s="22"/>
      <c r="K73" s="2"/>
      <c r="L73" s="4"/>
      <c r="M73" s="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4.1" customHeight="1">
      <c r="A74" s="2"/>
      <c r="B74" s="2" t="s">
        <v>57</v>
      </c>
      <c r="C74" s="2"/>
      <c r="D74" s="2"/>
      <c r="E74" s="3"/>
      <c r="F74" s="3"/>
      <c r="G74" s="3"/>
      <c r="H74" s="3"/>
      <c r="I74" s="3"/>
      <c r="J74" s="22"/>
      <c r="K74" s="2"/>
      <c r="L74" s="4"/>
      <c r="M74" s="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4.1" customHeight="1">
      <c r="A75" s="2"/>
      <c r="B75" s="2" t="s">
        <v>58</v>
      </c>
      <c r="C75" s="2"/>
      <c r="D75" s="2"/>
      <c r="E75" s="3"/>
      <c r="F75" s="3"/>
      <c r="G75" s="3"/>
      <c r="H75" s="3"/>
      <c r="I75" s="3"/>
      <c r="J75" s="22"/>
      <c r="K75" s="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</sheetData>
  <mergeCells count="13">
    <mergeCell ref="Y3:AB3"/>
    <mergeCell ref="AW3:AZ3"/>
    <mergeCell ref="BA3:BD3"/>
    <mergeCell ref="E3:H3"/>
    <mergeCell ref="I3:L3"/>
    <mergeCell ref="M3:P3"/>
    <mergeCell ref="Q3:T3"/>
    <mergeCell ref="U3:X3"/>
    <mergeCell ref="AC3:AF3"/>
    <mergeCell ref="AG3:AJ3"/>
    <mergeCell ref="AK3:AN3"/>
    <mergeCell ref="AO3:AR3"/>
    <mergeCell ref="AS3:AV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0"/>
  <sheetViews>
    <sheetView topLeftCell="AR29" workbookViewId="0">
      <selection activeCell="AY40" sqref="AY40"/>
    </sheetView>
  </sheetViews>
  <sheetFormatPr defaultRowHeight="15"/>
  <cols>
    <col min="1" max="3" width="2.42578125" customWidth="1"/>
    <col min="4" max="4" width="42.5703125" customWidth="1"/>
    <col min="5" max="28" width="0" hidden="1" customWidth="1"/>
    <col min="52" max="56" width="0" hidden="1" customWidth="1"/>
  </cols>
  <sheetData>
    <row r="1" spans="1:56" ht="16.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4"/>
      <c r="AP1" s="4"/>
      <c r="AQ1" s="4"/>
      <c r="AR1" s="4"/>
      <c r="AS1" s="4"/>
      <c r="AT1" s="4"/>
      <c r="AU1" s="4"/>
      <c r="AV1" s="4"/>
      <c r="AW1" s="4"/>
    </row>
    <row r="2" spans="1:56" ht="16.5">
      <c r="A2" s="5" t="s">
        <v>1</v>
      </c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"/>
      <c r="AP2" s="4"/>
      <c r="AQ2" s="4"/>
      <c r="AR2" s="4"/>
      <c r="AS2" s="4"/>
      <c r="AT2" s="4"/>
      <c r="AU2" s="4"/>
      <c r="AV2" s="4"/>
      <c r="AW2" s="4"/>
    </row>
    <row r="3" spans="1:56" ht="16.5">
      <c r="A3" s="7"/>
      <c r="B3" s="7"/>
      <c r="C3" s="7"/>
      <c r="D3" s="7"/>
      <c r="E3" s="147">
        <v>2004</v>
      </c>
      <c r="F3" s="147"/>
      <c r="G3" s="147"/>
      <c r="H3" s="147"/>
      <c r="I3" s="147">
        <v>2005</v>
      </c>
      <c r="J3" s="147"/>
      <c r="K3" s="147"/>
      <c r="L3" s="147"/>
      <c r="M3" s="147">
        <v>2006</v>
      </c>
      <c r="N3" s="147"/>
      <c r="O3" s="147"/>
      <c r="P3" s="147"/>
      <c r="Q3" s="147">
        <v>2007</v>
      </c>
      <c r="R3" s="147"/>
      <c r="S3" s="147"/>
      <c r="T3" s="147"/>
      <c r="U3" s="147">
        <v>2008</v>
      </c>
      <c r="V3" s="147"/>
      <c r="W3" s="147"/>
      <c r="X3" s="147"/>
      <c r="Y3" s="147">
        <v>2009</v>
      </c>
      <c r="Z3" s="147"/>
      <c r="AA3" s="147"/>
      <c r="AB3" s="147"/>
      <c r="AC3" s="147">
        <v>2010</v>
      </c>
      <c r="AD3" s="147"/>
      <c r="AE3" s="147"/>
      <c r="AF3" s="147"/>
      <c r="AG3" s="147">
        <v>2011</v>
      </c>
      <c r="AH3" s="147"/>
      <c r="AI3" s="147"/>
      <c r="AJ3" s="147"/>
      <c r="AK3" s="147">
        <v>2012</v>
      </c>
      <c r="AL3" s="147"/>
      <c r="AM3" s="147"/>
      <c r="AN3" s="147"/>
      <c r="AO3" s="147">
        <v>2013</v>
      </c>
      <c r="AP3" s="147"/>
      <c r="AQ3" s="147"/>
      <c r="AR3" s="147"/>
      <c r="AS3" s="149">
        <v>2014</v>
      </c>
      <c r="AT3" s="149"/>
      <c r="AU3" s="149"/>
      <c r="AV3" s="149"/>
      <c r="AW3" s="149">
        <v>2015</v>
      </c>
      <c r="AX3" s="149"/>
      <c r="AY3" s="149"/>
      <c r="AZ3" s="149"/>
      <c r="BA3" s="149">
        <v>2016</v>
      </c>
      <c r="BB3" s="149"/>
      <c r="BC3" s="149"/>
      <c r="BD3" s="149"/>
    </row>
    <row r="4" spans="1:56" s="127" customFormat="1" ht="16.5">
      <c r="A4" s="10"/>
      <c r="B4" s="10"/>
      <c r="C4" s="10"/>
      <c r="D4" s="10"/>
      <c r="E4" s="10" t="s">
        <v>6</v>
      </c>
      <c r="F4" s="10" t="s">
        <v>7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4</v>
      </c>
      <c r="L4" s="10" t="s">
        <v>5</v>
      </c>
      <c r="M4" s="10" t="s">
        <v>6</v>
      </c>
      <c r="N4" s="10" t="s">
        <v>7</v>
      </c>
      <c r="O4" s="10" t="s">
        <v>4</v>
      </c>
      <c r="P4" s="10" t="s">
        <v>5</v>
      </c>
      <c r="Q4" s="10" t="s">
        <v>6</v>
      </c>
      <c r="R4" s="10" t="s">
        <v>7</v>
      </c>
      <c r="S4" s="10" t="s">
        <v>4</v>
      </c>
      <c r="T4" s="10" t="s">
        <v>5</v>
      </c>
      <c r="U4" s="10" t="s">
        <v>6</v>
      </c>
      <c r="V4" s="10" t="s">
        <v>7</v>
      </c>
      <c r="W4" s="10" t="s">
        <v>4</v>
      </c>
      <c r="X4" s="10" t="s">
        <v>5</v>
      </c>
      <c r="Y4" s="10" t="s">
        <v>6</v>
      </c>
      <c r="Z4" s="10" t="s">
        <v>7</v>
      </c>
      <c r="AA4" s="10" t="s">
        <v>4</v>
      </c>
      <c r="AB4" s="10" t="s">
        <v>5</v>
      </c>
      <c r="AC4" s="10" t="s">
        <v>6</v>
      </c>
      <c r="AD4" s="10" t="s">
        <v>7</v>
      </c>
      <c r="AE4" s="10" t="s">
        <v>4</v>
      </c>
      <c r="AF4" s="10" t="s">
        <v>5</v>
      </c>
      <c r="AG4" s="10" t="s">
        <v>6</v>
      </c>
      <c r="AH4" s="10" t="s">
        <v>7</v>
      </c>
      <c r="AI4" s="10" t="s">
        <v>4</v>
      </c>
      <c r="AJ4" s="10" t="s">
        <v>5</v>
      </c>
      <c r="AK4" s="10" t="s">
        <v>6</v>
      </c>
      <c r="AL4" s="10" t="s">
        <v>7</v>
      </c>
      <c r="AM4" s="10" t="s">
        <v>4</v>
      </c>
      <c r="AN4" s="10" t="s">
        <v>5</v>
      </c>
      <c r="AO4" s="10" t="s">
        <v>6</v>
      </c>
      <c r="AP4" s="10" t="s">
        <v>7</v>
      </c>
      <c r="AQ4" s="10" t="s">
        <v>4</v>
      </c>
      <c r="AR4" s="10" t="s">
        <v>5</v>
      </c>
      <c r="AS4" s="10" t="s">
        <v>6</v>
      </c>
      <c r="AT4" s="10" t="s">
        <v>7</v>
      </c>
      <c r="AU4" s="10" t="s">
        <v>4</v>
      </c>
      <c r="AV4" s="10" t="s">
        <v>5</v>
      </c>
      <c r="AW4" s="10" t="s">
        <v>6</v>
      </c>
      <c r="AX4" s="10" t="s">
        <v>7</v>
      </c>
      <c r="AY4" s="10" t="s">
        <v>4</v>
      </c>
      <c r="AZ4" s="10" t="s">
        <v>5</v>
      </c>
      <c r="BA4" s="10" t="s">
        <v>6</v>
      </c>
      <c r="BB4" s="10" t="s">
        <v>7</v>
      </c>
      <c r="BC4" s="10" t="s">
        <v>4</v>
      </c>
      <c r="BD4" s="10" t="s">
        <v>5</v>
      </c>
    </row>
    <row r="5" spans="1:56" ht="16.5">
      <c r="A5" s="87" t="s">
        <v>8</v>
      </c>
      <c r="B5" s="88" t="s">
        <v>60</v>
      </c>
      <c r="C5" s="88"/>
      <c r="D5" s="88"/>
      <c r="E5" s="89">
        <f t="shared" ref="E5:AP5" si="0">E6+E7</f>
        <v>4488.9221797923401</v>
      </c>
      <c r="F5" s="89">
        <f t="shared" si="0"/>
        <v>4490.4373947808799</v>
      </c>
      <c r="G5" s="89">
        <f t="shared" si="0"/>
        <v>4591.1632297338701</v>
      </c>
      <c r="H5" s="89">
        <f t="shared" si="0"/>
        <v>4628.7780920000005</v>
      </c>
      <c r="I5" s="89">
        <f t="shared" si="0"/>
        <v>4613.6675589999995</v>
      </c>
      <c r="J5" s="89">
        <f t="shared" si="0"/>
        <v>4717.5572169399902</v>
      </c>
      <c r="K5" s="89">
        <f t="shared" si="0"/>
        <v>4810.6916132988408</v>
      </c>
      <c r="L5" s="89">
        <f t="shared" si="0"/>
        <v>4675.4409856996499</v>
      </c>
      <c r="M5" s="90">
        <f t="shared" si="0"/>
        <v>4577.7462836860705</v>
      </c>
      <c r="N5" s="90">
        <f t="shared" si="0"/>
        <v>4624.4964071036902</v>
      </c>
      <c r="O5" s="90">
        <f t="shared" si="0"/>
        <v>4479.9342023782501</v>
      </c>
      <c r="P5" s="90">
        <f t="shared" si="0"/>
        <v>4454.9882104835997</v>
      </c>
      <c r="Q5" s="90">
        <f t="shared" si="0"/>
        <v>4425.1918964915003</v>
      </c>
      <c r="R5" s="90">
        <f t="shared" si="0"/>
        <v>4193.1317396792801</v>
      </c>
      <c r="S5" s="90">
        <f t="shared" si="0"/>
        <v>4188.0323180372707</v>
      </c>
      <c r="T5" s="90">
        <f t="shared" si="0"/>
        <v>4026.2954029436601</v>
      </c>
      <c r="U5" s="90">
        <f t="shared" si="0"/>
        <v>4088.0236871829102</v>
      </c>
      <c r="V5" s="90">
        <f t="shared" si="0"/>
        <v>4239.0537272411302</v>
      </c>
      <c r="W5" s="90">
        <f t="shared" si="0"/>
        <v>4417.7279734016302</v>
      </c>
      <c r="X5" s="90">
        <f t="shared" si="0"/>
        <v>4491.8083928716796</v>
      </c>
      <c r="Y5" s="90">
        <f t="shared" si="0"/>
        <v>4462.7833944249396</v>
      </c>
      <c r="Z5" s="90">
        <f t="shared" si="0"/>
        <v>4508.1183211235002</v>
      </c>
      <c r="AA5" s="90">
        <f t="shared" si="0"/>
        <v>4560.5685038652</v>
      </c>
      <c r="AB5" s="90">
        <f t="shared" si="0"/>
        <v>4658.1643984216898</v>
      </c>
      <c r="AC5" s="90">
        <f t="shared" si="0"/>
        <v>4596.5583010238897</v>
      </c>
      <c r="AD5" s="90">
        <f t="shared" si="0"/>
        <v>4727.7017430946498</v>
      </c>
      <c r="AE5" s="90">
        <f t="shared" si="0"/>
        <v>4774.5401681352305</v>
      </c>
      <c r="AF5" s="90">
        <f t="shared" si="0"/>
        <v>4819.4111744796</v>
      </c>
      <c r="AG5" s="90">
        <f t="shared" si="0"/>
        <v>5011.5777975073106</v>
      </c>
      <c r="AH5" s="90">
        <f t="shared" si="0"/>
        <v>5094.29898816075</v>
      </c>
      <c r="AI5" s="90">
        <f t="shared" si="0"/>
        <v>5460.7253118955496</v>
      </c>
      <c r="AJ5" s="90">
        <f t="shared" si="0"/>
        <v>5367.1746442563099</v>
      </c>
      <c r="AK5" s="90">
        <f t="shared" si="0"/>
        <v>5506.9523127900302</v>
      </c>
      <c r="AL5" s="90">
        <f t="shared" si="0"/>
        <v>5443.6476382682758</v>
      </c>
      <c r="AM5" s="90">
        <f t="shared" si="0"/>
        <v>5433.2639135212303</v>
      </c>
      <c r="AN5" s="90">
        <f t="shared" si="0"/>
        <v>5593.3369759245406</v>
      </c>
      <c r="AO5" s="90">
        <f t="shared" si="0"/>
        <v>5444.45271128681</v>
      </c>
      <c r="AP5" s="90">
        <f t="shared" si="0"/>
        <v>5699.9044932170509</v>
      </c>
      <c r="AQ5" s="89">
        <f t="shared" ref="AQ5:AY5" si="1">AQ6+AQ7</f>
        <v>5867.9650723147497</v>
      </c>
      <c r="AR5" s="89">
        <f t="shared" si="1"/>
        <v>5914.2498650163707</v>
      </c>
      <c r="AS5" s="89">
        <f t="shared" si="1"/>
        <v>5878.96894094257</v>
      </c>
      <c r="AT5" s="89">
        <f t="shared" si="1"/>
        <v>6000.7895494015993</v>
      </c>
      <c r="AU5" s="89">
        <f t="shared" si="1"/>
        <v>6081.2035403807595</v>
      </c>
      <c r="AV5" s="89">
        <f t="shared" si="1"/>
        <v>6047.6620580683402</v>
      </c>
      <c r="AW5" s="89">
        <f t="shared" si="1"/>
        <v>6090.2458099687301</v>
      </c>
      <c r="AX5" s="89">
        <f t="shared" si="1"/>
        <v>6102.1370198354998</v>
      </c>
      <c r="AY5" s="89">
        <f t="shared" si="1"/>
        <v>6239.27383655229</v>
      </c>
    </row>
    <row r="6" spans="1:56" ht="16.5">
      <c r="A6" s="6"/>
      <c r="B6" s="6"/>
      <c r="C6" s="1" t="s">
        <v>10</v>
      </c>
      <c r="D6" s="5"/>
      <c r="E6" s="91">
        <f>[2]tab1!E57</f>
        <v>1425.2169197923399</v>
      </c>
      <c r="F6" s="91">
        <f>[2]tab1!F57</f>
        <v>1429.2492907808796</v>
      </c>
      <c r="G6" s="91">
        <f>[2]tab1!G57</f>
        <v>1520.7584397338701</v>
      </c>
      <c r="H6" s="91">
        <f>[2]tab1!H57</f>
        <v>1573.6981600000004</v>
      </c>
      <c r="I6" s="91">
        <f>[2]tab1!I57</f>
        <v>1602.8807939999999</v>
      </c>
      <c r="J6" s="91">
        <f>[2]tab1!J57</f>
        <v>1636.5814219399902</v>
      </c>
      <c r="K6" s="91">
        <f>[2]tab1!K57</f>
        <v>1685.0934602988402</v>
      </c>
      <c r="L6" s="91">
        <f>[2]tab1!L57</f>
        <v>1826.14328049969</v>
      </c>
      <c r="M6" s="92">
        <f>[2]tab1!M57</f>
        <v>1664.1973161604099</v>
      </c>
      <c r="N6" s="92">
        <f>[2]tab1!N57</f>
        <v>1656.3956949482304</v>
      </c>
      <c r="O6" s="92">
        <f>[2]tab1!O57</f>
        <v>1659.3483374510399</v>
      </c>
      <c r="P6" s="92">
        <f>[2]tab1!P57</f>
        <v>1725.7482679647899</v>
      </c>
      <c r="Q6" s="93">
        <f>[2]tab1!Q57</f>
        <v>1668.2800238845298</v>
      </c>
      <c r="R6" s="93">
        <f>[2]tab1!R57</f>
        <v>1587.47798605818</v>
      </c>
      <c r="S6" s="93">
        <f>[2]tab1!S57</f>
        <v>1647.7031303854801</v>
      </c>
      <c r="T6" s="93">
        <f>[2]tab1!T57</f>
        <v>1706.3362055784</v>
      </c>
      <c r="U6" s="93">
        <f>[2]tab1!U57</f>
        <v>1677.7416471756299</v>
      </c>
      <c r="V6" s="93">
        <f>[2]tab1!V57</f>
        <v>1790.4906257927598</v>
      </c>
      <c r="W6" s="93">
        <f>[2]tab1!W57</f>
        <v>2056.1233042470403</v>
      </c>
      <c r="X6" s="93">
        <f>[2]tab1!X57</f>
        <v>1863.3129565427901</v>
      </c>
      <c r="Y6" s="92">
        <f>[2]tab1!Y57</f>
        <v>1803.4477224971099</v>
      </c>
      <c r="Z6" s="92">
        <f>[2]tab1!Z57</f>
        <v>1816.0749155919298</v>
      </c>
      <c r="AA6" s="92">
        <f>[2]tab1!AA57</f>
        <v>1854.7757776947099</v>
      </c>
      <c r="AB6" s="92">
        <f>[2]tab1!AB57</f>
        <v>1918.9131097279501</v>
      </c>
      <c r="AC6" s="92">
        <f>[2]tab1!AC57</f>
        <v>1893.1495437080198</v>
      </c>
      <c r="AD6" s="92">
        <f>[2]tab1!AD57</f>
        <v>1970.1142293739097</v>
      </c>
      <c r="AE6" s="92">
        <f>[2]tab1!AE57</f>
        <v>2101.2777861385403</v>
      </c>
      <c r="AF6" s="92">
        <f>[2]tab1!AF57</f>
        <v>2210.2644233212104</v>
      </c>
      <c r="AG6" s="92">
        <f>[2]tab1!AG57</f>
        <v>2324.7781026520802</v>
      </c>
      <c r="AH6" s="92">
        <f>[2]tab1!AH57</f>
        <v>2397.96026514906</v>
      </c>
      <c r="AI6" s="92">
        <f>[2]tab1!AI57</f>
        <v>2745.4191443777295</v>
      </c>
      <c r="AJ6" s="92">
        <f>[2]tab1!AJ57</f>
        <v>2743.3614324373798</v>
      </c>
      <c r="AK6" s="92">
        <f>[2]tab1!AK57</f>
        <v>3167.3027427900302</v>
      </c>
      <c r="AL6" s="92">
        <f>[2]tab1!AL57</f>
        <v>3165.9943382682754</v>
      </c>
      <c r="AM6" s="92">
        <f>[2]tab1!AM57</f>
        <v>3179.1284735212298</v>
      </c>
      <c r="AN6" s="92">
        <f>[2]tab1!AN57</f>
        <v>3483.5066459245404</v>
      </c>
      <c r="AO6" s="92">
        <f>[2]tab1!AO57</f>
        <v>3434.3129912868103</v>
      </c>
      <c r="AP6" s="92">
        <f>[2]tab1!AP57</f>
        <v>3611.4134832170503</v>
      </c>
      <c r="AQ6" s="94">
        <f>[2]tab1!AQ57</f>
        <v>3801.0997023147497</v>
      </c>
      <c r="AR6" s="95">
        <f>[2]tab1!AR57</f>
        <v>3833.2500450163702</v>
      </c>
      <c r="AS6" s="95">
        <f>[2]tab1!AS57</f>
        <v>3779.8684009425697</v>
      </c>
      <c r="AT6" s="95">
        <f>[2]tab1!AT57</f>
        <v>3955.9629094016</v>
      </c>
      <c r="AU6" s="95">
        <f>[2]tab1!AU57</f>
        <v>3993.5215603807596</v>
      </c>
      <c r="AV6" s="95">
        <f>[2]tab1!AV57</f>
        <v>4019.2787580683403</v>
      </c>
      <c r="AW6" s="95">
        <f>'tab1 lvl'!AW57</f>
        <v>4045.5350299687302</v>
      </c>
      <c r="AX6" s="95">
        <f>'tab1 lvl'!AX57</f>
        <v>4015.7236298354997</v>
      </c>
      <c r="AY6" s="95">
        <f>'tab1 lvl'!AY57</f>
        <v>4074.91752763969</v>
      </c>
    </row>
    <row r="7" spans="1:56" ht="16.5">
      <c r="A7" s="6"/>
      <c r="B7" s="6"/>
      <c r="C7" s="5" t="s">
        <v>11</v>
      </c>
      <c r="D7" s="5"/>
      <c r="E7" s="91">
        <f>[2]tab1!E58</f>
        <v>3063.7052600000002</v>
      </c>
      <c r="F7" s="91">
        <f>[2]tab1!F58</f>
        <v>3061.1881039999998</v>
      </c>
      <c r="G7" s="91">
        <f>[2]tab1!G58</f>
        <v>3070.40479</v>
      </c>
      <c r="H7" s="91">
        <f>[2]tab1!H58</f>
        <v>3055.0799320000001</v>
      </c>
      <c r="I7" s="91">
        <f>[2]tab1!I58</f>
        <v>3010.7867649999998</v>
      </c>
      <c r="J7" s="91">
        <f>[2]tab1!J58</f>
        <v>3080.9757950000003</v>
      </c>
      <c r="K7" s="91">
        <f>[2]tab1!K58</f>
        <v>3125.5981530000004</v>
      </c>
      <c r="L7" s="91">
        <f>[2]tab1!L58</f>
        <v>2849.2977051999601</v>
      </c>
      <c r="M7" s="92">
        <f>[2]tab1!M58</f>
        <v>2913.5489675256604</v>
      </c>
      <c r="N7" s="92">
        <f>[2]tab1!N58</f>
        <v>2968.1007121554599</v>
      </c>
      <c r="O7" s="92">
        <f>[2]tab1!O58</f>
        <v>2820.58586492721</v>
      </c>
      <c r="P7" s="92">
        <f>[2]tab1!P58</f>
        <v>2729.23994251881</v>
      </c>
      <c r="Q7" s="93">
        <f>[2]tab1!Q58</f>
        <v>2756.9118726069705</v>
      </c>
      <c r="R7" s="93">
        <f>[2]tab1!R58</f>
        <v>2605.6537536211003</v>
      </c>
      <c r="S7" s="93">
        <f>[2]tab1!S58</f>
        <v>2540.3291876517901</v>
      </c>
      <c r="T7" s="93">
        <f>[2]tab1!T58</f>
        <v>2319.95919736526</v>
      </c>
      <c r="U7" s="93">
        <f>[2]tab1!U58</f>
        <v>2410.2820400072801</v>
      </c>
      <c r="V7" s="93">
        <f>[2]tab1!V58</f>
        <v>2448.5631014483702</v>
      </c>
      <c r="W7" s="93">
        <f>[2]tab1!W58</f>
        <v>2361.6046691545898</v>
      </c>
      <c r="X7" s="93">
        <f>[2]tab1!X58</f>
        <v>2628.4954363288898</v>
      </c>
      <c r="Y7" s="92">
        <f>[2]tab1!Y58</f>
        <v>2659.3356719278299</v>
      </c>
      <c r="Z7" s="92">
        <f>[2]tab1!Z58</f>
        <v>2692.04340553157</v>
      </c>
      <c r="AA7" s="92">
        <f>[2]tab1!AA58</f>
        <v>2705.7927261704899</v>
      </c>
      <c r="AB7" s="92">
        <f>[2]tab1!AB58</f>
        <v>2739.2512886937402</v>
      </c>
      <c r="AC7" s="92">
        <f>[2]tab1!AC58</f>
        <v>2703.4087573158699</v>
      </c>
      <c r="AD7" s="92">
        <f>[2]tab1!AD58</f>
        <v>2757.5875137207404</v>
      </c>
      <c r="AE7" s="92">
        <f>[2]tab1!AE58</f>
        <v>2673.2623819966898</v>
      </c>
      <c r="AF7" s="92">
        <f>[2]tab1!AF58</f>
        <v>2609.1467511583896</v>
      </c>
      <c r="AG7" s="92">
        <f>[2]tab1!AG58</f>
        <v>2686.79969485523</v>
      </c>
      <c r="AH7" s="92">
        <f>[2]tab1!AH58</f>
        <v>2696.33872301169</v>
      </c>
      <c r="AI7" s="92">
        <f>[2]tab1!AI58</f>
        <v>2715.3061675178201</v>
      </c>
      <c r="AJ7" s="92">
        <f>[2]tab1!AJ58</f>
        <v>2623.8132118189301</v>
      </c>
      <c r="AK7" s="92">
        <f>[2]tab1!AK58</f>
        <v>2339.6495699999996</v>
      </c>
      <c r="AL7" s="92">
        <f>[2]tab1!AL58</f>
        <v>2277.6532999999999</v>
      </c>
      <c r="AM7" s="92">
        <f>[2]tab1!AM58</f>
        <v>2254.13544</v>
      </c>
      <c r="AN7" s="92">
        <f>[2]tab1!AN58</f>
        <v>2109.8303300000002</v>
      </c>
      <c r="AO7" s="92">
        <f>[2]tab1!AO58</f>
        <v>2010.1397199999999</v>
      </c>
      <c r="AP7" s="92">
        <f>[2]tab1!AP58</f>
        <v>2088.4910100000002</v>
      </c>
      <c r="AQ7" s="94">
        <f>[2]tab1!AQ58</f>
        <v>2066.8653700000004</v>
      </c>
      <c r="AR7" s="95">
        <f>[2]tab1!AR58</f>
        <v>2080.99982</v>
      </c>
      <c r="AS7" s="95">
        <f>[2]tab1!AS58</f>
        <v>2099.1005399999999</v>
      </c>
      <c r="AT7" s="95">
        <f>[2]tab1!AT58</f>
        <v>2044.8266399999998</v>
      </c>
      <c r="AU7" s="95">
        <f>[2]tab1!AU58</f>
        <v>2087.6819799999998</v>
      </c>
      <c r="AV7" s="95">
        <f>[2]tab1!AV58</f>
        <v>2028.3833</v>
      </c>
      <c r="AW7" s="95">
        <f>'tab1 lvl'!AW58</f>
        <v>2044.7107800000003</v>
      </c>
      <c r="AX7" s="95">
        <f>'tab1 lvl'!AX58</f>
        <v>2086.4133899999997</v>
      </c>
      <c r="AY7" s="95">
        <f>'tab1 lvl'!AY58</f>
        <v>2164.3563089126001</v>
      </c>
    </row>
    <row r="8" spans="1:56" ht="16.5">
      <c r="A8" s="2"/>
      <c r="B8" s="2"/>
      <c r="C8" s="2"/>
      <c r="D8" s="2"/>
      <c r="E8" s="22"/>
      <c r="F8" s="22"/>
      <c r="G8" s="22"/>
      <c r="H8" s="22"/>
      <c r="I8" s="22"/>
      <c r="J8" s="22"/>
      <c r="K8" s="22"/>
      <c r="L8" s="22"/>
      <c r="M8" s="3"/>
      <c r="N8" s="3"/>
      <c r="O8" s="3"/>
      <c r="P8" s="3"/>
      <c r="Q8" s="96"/>
      <c r="R8" s="96"/>
      <c r="S8" s="96"/>
      <c r="T8" s="96"/>
      <c r="U8" s="96"/>
      <c r="V8" s="96"/>
      <c r="W8" s="96"/>
      <c r="X8" s="3"/>
      <c r="Y8" s="3"/>
      <c r="Z8" s="3"/>
      <c r="AA8" s="3"/>
      <c r="AB8" s="3"/>
      <c r="AC8" s="3"/>
      <c r="AD8" s="3"/>
      <c r="AE8" s="3"/>
      <c r="AF8" s="92"/>
      <c r="AG8" s="3"/>
      <c r="AH8" s="92"/>
      <c r="AI8" s="3"/>
      <c r="AJ8" s="3"/>
      <c r="AK8" s="3"/>
      <c r="AL8" s="3"/>
      <c r="AM8" s="3"/>
      <c r="AN8" s="3"/>
      <c r="AO8" s="4"/>
      <c r="AP8" s="4"/>
      <c r="AQ8" s="4"/>
      <c r="AR8" s="97"/>
      <c r="AS8" s="4"/>
      <c r="AU8" s="4"/>
      <c r="AV8" s="4"/>
      <c r="AW8" s="4"/>
    </row>
    <row r="9" spans="1:56" ht="16.5">
      <c r="A9" s="98" t="s">
        <v>12</v>
      </c>
      <c r="B9" s="99" t="s">
        <v>61</v>
      </c>
      <c r="C9" s="99"/>
      <c r="D9" s="99"/>
      <c r="E9" s="89">
        <f t="shared" ref="E9:AY9" si="2">E10+E11</f>
        <v>1380.894</v>
      </c>
      <c r="F9" s="89">
        <f t="shared" si="2"/>
        <v>1394.0070000000001</v>
      </c>
      <c r="G9" s="89">
        <f t="shared" si="2"/>
        <v>1371.271</v>
      </c>
      <c r="H9" s="89">
        <f t="shared" si="2"/>
        <v>1331.54</v>
      </c>
      <c r="I9" s="89">
        <f t="shared" si="2"/>
        <v>1420.6450399999999</v>
      </c>
      <c r="J9" s="89">
        <f t="shared" si="2"/>
        <v>1483.93</v>
      </c>
      <c r="K9" s="89">
        <f t="shared" si="2"/>
        <v>1460.9660000000001</v>
      </c>
      <c r="L9" s="89">
        <f t="shared" si="2"/>
        <v>1051.1199999999999</v>
      </c>
      <c r="M9" s="89">
        <f t="shared" si="2"/>
        <v>1081.2809999999999</v>
      </c>
      <c r="N9" s="89">
        <f t="shared" si="2"/>
        <v>1074.8849999999998</v>
      </c>
      <c r="O9" s="89">
        <f t="shared" si="2"/>
        <v>1139.6247600000002</v>
      </c>
      <c r="P9" s="89">
        <f t="shared" si="2"/>
        <v>1326.3677400000001</v>
      </c>
      <c r="Q9" s="89">
        <f t="shared" si="2"/>
        <v>1431.3159600000001</v>
      </c>
      <c r="R9" s="89">
        <f t="shared" si="2"/>
        <v>1553.0673700000002</v>
      </c>
      <c r="S9" s="89">
        <f t="shared" si="2"/>
        <v>1745.56159</v>
      </c>
      <c r="T9" s="89">
        <f t="shared" si="2"/>
        <v>1842.6429999999998</v>
      </c>
      <c r="U9" s="89">
        <f t="shared" si="2"/>
        <v>2009.2339999999999</v>
      </c>
      <c r="V9" s="89">
        <f t="shared" si="2"/>
        <v>2063.085</v>
      </c>
      <c r="W9" s="89">
        <f t="shared" si="2"/>
        <v>1982.1180000000002</v>
      </c>
      <c r="X9" s="89">
        <f t="shared" si="2"/>
        <v>1980.759</v>
      </c>
      <c r="Y9" s="89">
        <f t="shared" si="2"/>
        <v>2078.5550000000003</v>
      </c>
      <c r="Z9" s="89">
        <f t="shared" si="2"/>
        <v>2139.2790000000005</v>
      </c>
      <c r="AA9" s="89">
        <f t="shared" si="2"/>
        <v>2120.6909999999998</v>
      </c>
      <c r="AB9" s="89">
        <f t="shared" si="2"/>
        <v>2204.3559999999998</v>
      </c>
      <c r="AC9" s="89">
        <f t="shared" si="2"/>
        <v>2317.5949999999998</v>
      </c>
      <c r="AD9" s="89">
        <f t="shared" si="2"/>
        <v>2354.3020000000001</v>
      </c>
      <c r="AE9" s="89">
        <f t="shared" si="2"/>
        <v>2452.1730000000002</v>
      </c>
      <c r="AF9" s="89">
        <f t="shared" si="2"/>
        <v>2982.6570000000002</v>
      </c>
      <c r="AG9" s="89">
        <f t="shared" si="2"/>
        <v>3092.4038499999997</v>
      </c>
      <c r="AH9" s="89">
        <f t="shared" si="2"/>
        <v>3071.3765700000008</v>
      </c>
      <c r="AI9" s="89">
        <f t="shared" si="2"/>
        <v>3314.4935399999999</v>
      </c>
      <c r="AJ9" s="89">
        <f t="shared" si="2"/>
        <v>3567.69868</v>
      </c>
      <c r="AK9" s="89">
        <f t="shared" si="2"/>
        <v>3346.7745899999995</v>
      </c>
      <c r="AL9" s="89">
        <f t="shared" si="2"/>
        <v>3403.0234699999996</v>
      </c>
      <c r="AM9" s="89">
        <f t="shared" si="2"/>
        <v>3686.1997000000001</v>
      </c>
      <c r="AN9" s="89">
        <f t="shared" si="2"/>
        <v>3660.5004899999994</v>
      </c>
      <c r="AO9" s="89">
        <f t="shared" si="2"/>
        <v>3887.6121800000001</v>
      </c>
      <c r="AP9" s="89">
        <f t="shared" si="2"/>
        <v>3784.1639999999998</v>
      </c>
      <c r="AQ9" s="89">
        <f t="shared" si="2"/>
        <v>3706.1374499999997</v>
      </c>
      <c r="AR9" s="89">
        <f t="shared" si="2"/>
        <v>3830.1755499999999</v>
      </c>
      <c r="AS9" s="89">
        <f t="shared" si="2"/>
        <v>3694.4651299999996</v>
      </c>
      <c r="AT9" s="89">
        <f t="shared" si="2"/>
        <v>3650.5631699999999</v>
      </c>
      <c r="AU9" s="89">
        <f t="shared" si="2"/>
        <v>3594.1575900000003</v>
      </c>
      <c r="AV9" s="89">
        <f t="shared" si="2"/>
        <v>3693.6629500000004</v>
      </c>
      <c r="AW9" s="89">
        <f t="shared" si="2"/>
        <v>3670.5591699999995</v>
      </c>
      <c r="AX9" s="89">
        <f t="shared" si="2"/>
        <v>3665.3667100000002</v>
      </c>
      <c r="AY9" s="89">
        <f t="shared" si="2"/>
        <v>3696.0855799999999</v>
      </c>
    </row>
    <row r="10" spans="1:56" ht="16.5">
      <c r="A10" s="2"/>
      <c r="B10" s="2"/>
      <c r="C10" s="2" t="s">
        <v>10</v>
      </c>
      <c r="D10" s="2"/>
      <c r="E10" s="22">
        <f t="shared" ref="E10:AV11" si="3">E14+E18</f>
        <v>768.21</v>
      </c>
      <c r="F10" s="22">
        <f t="shared" si="3"/>
        <v>773.12799999999993</v>
      </c>
      <c r="G10" s="22">
        <f t="shared" si="3"/>
        <v>802.16899999999998</v>
      </c>
      <c r="H10" s="22">
        <f t="shared" si="3"/>
        <v>796.72</v>
      </c>
      <c r="I10" s="22">
        <f t="shared" si="3"/>
        <v>922.83069</v>
      </c>
      <c r="J10" s="22">
        <f t="shared" si="3"/>
        <v>971.74</v>
      </c>
      <c r="K10" s="22">
        <f t="shared" si="3"/>
        <v>945.08300000000008</v>
      </c>
      <c r="L10" s="22">
        <f t="shared" si="3"/>
        <v>610.87999999999988</v>
      </c>
      <c r="M10" s="22">
        <f t="shared" si="3"/>
        <v>660.68499999999995</v>
      </c>
      <c r="N10" s="22">
        <f t="shared" si="3"/>
        <v>690.84699999999987</v>
      </c>
      <c r="O10" s="22">
        <f t="shared" si="3"/>
        <v>782.77128000000005</v>
      </c>
      <c r="P10" s="22">
        <f t="shared" si="3"/>
        <v>1025.86689</v>
      </c>
      <c r="Q10" s="22">
        <f t="shared" si="3"/>
        <v>1170.7546600000001</v>
      </c>
      <c r="R10" s="22">
        <f t="shared" si="3"/>
        <v>1278.2500000000002</v>
      </c>
      <c r="S10" s="22">
        <f t="shared" si="3"/>
        <v>1487.20389</v>
      </c>
      <c r="T10" s="22">
        <f t="shared" si="3"/>
        <v>1590.8509999999999</v>
      </c>
      <c r="U10" s="22">
        <f t="shared" si="3"/>
        <v>1747.2469999999998</v>
      </c>
      <c r="V10" s="22">
        <f t="shared" si="3"/>
        <v>1779.797</v>
      </c>
      <c r="W10" s="22">
        <f t="shared" si="3"/>
        <v>1672.1560000000002</v>
      </c>
      <c r="X10" s="22">
        <f t="shared" si="3"/>
        <v>1651.46</v>
      </c>
      <c r="Y10" s="22">
        <f t="shared" si="3"/>
        <v>1728.652</v>
      </c>
      <c r="Z10" s="22">
        <f t="shared" si="3"/>
        <v>1815.9870000000003</v>
      </c>
      <c r="AA10" s="22">
        <f t="shared" si="3"/>
        <v>1818.1569999999999</v>
      </c>
      <c r="AB10" s="22">
        <f t="shared" si="3"/>
        <v>1913.751</v>
      </c>
      <c r="AC10" s="22">
        <f t="shared" si="3"/>
        <v>2020.5519999999997</v>
      </c>
      <c r="AD10" s="22">
        <f t="shared" si="3"/>
        <v>2095.2580000000003</v>
      </c>
      <c r="AE10" s="22">
        <f t="shared" si="3"/>
        <v>2206.0340000000001</v>
      </c>
      <c r="AF10" s="22">
        <f t="shared" si="3"/>
        <v>2725.3050000000003</v>
      </c>
      <c r="AG10" s="22">
        <f t="shared" si="3"/>
        <v>2863.0650699999997</v>
      </c>
      <c r="AH10" s="22">
        <f t="shared" si="3"/>
        <v>2846.1621400000008</v>
      </c>
      <c r="AI10" s="22">
        <f t="shared" si="3"/>
        <v>3087.0086900000001</v>
      </c>
      <c r="AJ10" s="22">
        <f t="shared" si="3"/>
        <v>3325.3376499999999</v>
      </c>
      <c r="AK10" s="22">
        <f t="shared" si="3"/>
        <v>3170.1613199999997</v>
      </c>
      <c r="AL10" s="22">
        <f t="shared" si="3"/>
        <v>3210.1837199999995</v>
      </c>
      <c r="AM10" s="22">
        <f t="shared" si="3"/>
        <v>3465.9546300000002</v>
      </c>
      <c r="AN10" s="22">
        <f t="shared" si="3"/>
        <v>3443.1735099999996</v>
      </c>
      <c r="AO10" s="22">
        <f t="shared" si="3"/>
        <v>3689.4073800000001</v>
      </c>
      <c r="AP10" s="22">
        <f t="shared" si="3"/>
        <v>3594.43</v>
      </c>
      <c r="AQ10" s="22">
        <f t="shared" si="3"/>
        <v>3513.7539899999997</v>
      </c>
      <c r="AR10" s="22">
        <f t="shared" si="3"/>
        <v>3638.7730099999999</v>
      </c>
      <c r="AS10" s="22">
        <f t="shared" si="3"/>
        <v>3505.8791299999998</v>
      </c>
      <c r="AT10" s="22">
        <f t="shared" si="3"/>
        <v>3469.77934</v>
      </c>
      <c r="AU10" s="22">
        <f t="shared" si="3"/>
        <v>3422.9336900000003</v>
      </c>
      <c r="AV10" s="22">
        <f t="shared" si="3"/>
        <v>3516.7827600000005</v>
      </c>
      <c r="AW10" s="22">
        <f t="shared" ref="AW10:AY10" si="4">AW14+AW18</f>
        <v>3499.6333199999995</v>
      </c>
      <c r="AX10" s="22">
        <f t="shared" si="4"/>
        <v>3492.5237200000001</v>
      </c>
      <c r="AY10" s="22">
        <f t="shared" si="4"/>
        <v>3509.8502100000001</v>
      </c>
    </row>
    <row r="11" spans="1:56" ht="16.5">
      <c r="A11" s="2"/>
      <c r="B11" s="2"/>
      <c r="C11" s="2" t="s">
        <v>11</v>
      </c>
      <c r="D11" s="2"/>
      <c r="E11" s="22">
        <f t="shared" si="3"/>
        <v>612.68399999999997</v>
      </c>
      <c r="F11" s="22">
        <f t="shared" si="3"/>
        <v>620.87900000000002</v>
      </c>
      <c r="G11" s="22">
        <f t="shared" si="3"/>
        <v>569.10199999999998</v>
      </c>
      <c r="H11" s="22">
        <f t="shared" si="3"/>
        <v>534.81999999999994</v>
      </c>
      <c r="I11" s="22">
        <f t="shared" si="3"/>
        <v>497.81434999999999</v>
      </c>
      <c r="J11" s="22">
        <f t="shared" si="3"/>
        <v>512.19000000000005</v>
      </c>
      <c r="K11" s="22">
        <f t="shared" si="3"/>
        <v>515.88300000000004</v>
      </c>
      <c r="L11" s="22">
        <f t="shared" si="3"/>
        <v>440.24</v>
      </c>
      <c r="M11" s="22">
        <f t="shared" si="3"/>
        <v>420.596</v>
      </c>
      <c r="N11" s="22">
        <f t="shared" si="3"/>
        <v>384.03800000000001</v>
      </c>
      <c r="O11" s="22">
        <f t="shared" si="3"/>
        <v>356.85347999999999</v>
      </c>
      <c r="P11" s="22">
        <f t="shared" si="3"/>
        <v>300.50085000000001</v>
      </c>
      <c r="Q11" s="22">
        <f t="shared" si="3"/>
        <v>260.56130000000002</v>
      </c>
      <c r="R11" s="22">
        <f t="shared" si="3"/>
        <v>274.81736999999998</v>
      </c>
      <c r="S11" s="22">
        <f t="shared" si="3"/>
        <v>258.35770000000002</v>
      </c>
      <c r="T11" s="22">
        <f t="shared" si="3"/>
        <v>251.792</v>
      </c>
      <c r="U11" s="22">
        <f t="shared" si="3"/>
        <v>261.98700000000002</v>
      </c>
      <c r="V11" s="22">
        <f t="shared" si="3"/>
        <v>283.28800000000001</v>
      </c>
      <c r="W11" s="22">
        <f t="shared" si="3"/>
        <v>309.96199999999999</v>
      </c>
      <c r="X11" s="22">
        <f t="shared" si="3"/>
        <v>329.29899999999998</v>
      </c>
      <c r="Y11" s="22">
        <f t="shared" si="3"/>
        <v>349.90300000000002</v>
      </c>
      <c r="Z11" s="22">
        <f t="shared" si="3"/>
        <v>323.29200000000003</v>
      </c>
      <c r="AA11" s="22">
        <f t="shared" si="3"/>
        <v>302.53399999999999</v>
      </c>
      <c r="AB11" s="22">
        <f t="shared" si="3"/>
        <v>290.60500000000002</v>
      </c>
      <c r="AC11" s="22">
        <f t="shared" si="3"/>
        <v>297.04300000000001</v>
      </c>
      <c r="AD11" s="22">
        <f t="shared" si="3"/>
        <v>259.04399999999998</v>
      </c>
      <c r="AE11" s="22">
        <f t="shared" si="3"/>
        <v>246.13900000000001</v>
      </c>
      <c r="AF11" s="22">
        <f t="shared" si="3"/>
        <v>257.35199999999998</v>
      </c>
      <c r="AG11" s="22">
        <f t="shared" si="3"/>
        <v>229.33877999999999</v>
      </c>
      <c r="AH11" s="22">
        <f t="shared" si="3"/>
        <v>225.21442999999999</v>
      </c>
      <c r="AI11" s="22">
        <f t="shared" si="3"/>
        <v>227.48484999999999</v>
      </c>
      <c r="AJ11" s="22">
        <f t="shared" si="3"/>
        <v>242.36103</v>
      </c>
      <c r="AK11" s="22">
        <f t="shared" si="3"/>
        <v>176.61327</v>
      </c>
      <c r="AL11" s="22">
        <f t="shared" si="3"/>
        <v>192.83975000000001</v>
      </c>
      <c r="AM11" s="22">
        <f t="shared" si="3"/>
        <v>220.24507</v>
      </c>
      <c r="AN11" s="22">
        <f t="shared" si="3"/>
        <v>217.32697999999999</v>
      </c>
      <c r="AO11" s="22">
        <f t="shared" si="3"/>
        <v>198.20479999999998</v>
      </c>
      <c r="AP11" s="22">
        <f t="shared" si="3"/>
        <v>189.73399999999998</v>
      </c>
      <c r="AQ11" s="22">
        <f t="shared" si="3"/>
        <v>192.38345999999999</v>
      </c>
      <c r="AR11" s="22">
        <f t="shared" si="3"/>
        <v>191.40253999999999</v>
      </c>
      <c r="AS11" s="22">
        <f t="shared" si="3"/>
        <v>188.58600000000001</v>
      </c>
      <c r="AT11" s="22">
        <f t="shared" si="3"/>
        <v>180.78382999999999</v>
      </c>
      <c r="AU11" s="22">
        <f t="shared" si="3"/>
        <v>171.22389999999999</v>
      </c>
      <c r="AV11" s="22">
        <f t="shared" si="3"/>
        <v>176.88018999999997</v>
      </c>
      <c r="AW11" s="22">
        <f t="shared" ref="AW11:AY11" si="5">AW15+AW19</f>
        <v>170.92584999999997</v>
      </c>
      <c r="AX11" s="22">
        <f t="shared" si="5"/>
        <v>172.84298999999999</v>
      </c>
      <c r="AY11" s="22">
        <f t="shared" si="5"/>
        <v>186.23536999999999</v>
      </c>
    </row>
    <row r="12" spans="1:56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  <c r="P12" s="3"/>
      <c r="Q12" s="96"/>
      <c r="R12" s="96"/>
      <c r="S12" s="96"/>
      <c r="T12" s="96"/>
      <c r="U12" s="96"/>
      <c r="V12" s="96"/>
      <c r="W12" s="96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4"/>
      <c r="AP12" s="4"/>
      <c r="AQ12" s="4"/>
      <c r="AR12" s="97"/>
      <c r="AS12" s="4"/>
      <c r="AU12" s="4"/>
      <c r="AV12" s="4"/>
      <c r="AW12" s="4"/>
    </row>
    <row r="13" spans="1:56" ht="16.5">
      <c r="A13" s="40"/>
      <c r="B13" s="40"/>
      <c r="C13" s="100" t="s">
        <v>62</v>
      </c>
      <c r="D13" s="40" t="s">
        <v>63</v>
      </c>
      <c r="E13" s="15">
        <f t="shared" ref="E13:K13" si="6">E14+E15</f>
        <v>981.11999999999989</v>
      </c>
      <c r="F13" s="15">
        <f t="shared" si="6"/>
        <v>992.49</v>
      </c>
      <c r="G13" s="15">
        <f t="shared" si="6"/>
        <v>981.02</v>
      </c>
      <c r="H13" s="15">
        <f t="shared" si="6"/>
        <v>927.34</v>
      </c>
      <c r="I13" s="15">
        <f t="shared" si="6"/>
        <v>1016.5</v>
      </c>
      <c r="J13" s="15">
        <f t="shared" si="6"/>
        <v>1072.92</v>
      </c>
      <c r="K13" s="15">
        <f t="shared" si="6"/>
        <v>1017.55</v>
      </c>
      <c r="L13" s="101">
        <v>892.82</v>
      </c>
      <c r="M13" s="15">
        <f t="shared" ref="M13:AP13" si="7">M14+M15</f>
        <v>920.66999999999985</v>
      </c>
      <c r="N13" s="15">
        <f t="shared" si="7"/>
        <v>908.09999999999991</v>
      </c>
      <c r="O13" s="15">
        <f t="shared" si="7"/>
        <v>988.7</v>
      </c>
      <c r="P13" s="15">
        <f t="shared" si="7"/>
        <v>1174.5</v>
      </c>
      <c r="Q13" s="16">
        <f>Q14+Q15</f>
        <v>1285.7</v>
      </c>
      <c r="R13" s="15">
        <f t="shared" si="7"/>
        <v>1380.8000000000002</v>
      </c>
      <c r="S13" s="15">
        <f t="shared" si="7"/>
        <v>1561.8</v>
      </c>
      <c r="T13" s="15">
        <f t="shared" si="7"/>
        <v>1667.4999999999998</v>
      </c>
      <c r="U13" s="15">
        <f t="shared" si="7"/>
        <v>1789.6999999999998</v>
      </c>
      <c r="V13" s="15">
        <f t="shared" si="7"/>
        <v>1810.41</v>
      </c>
      <c r="W13" s="15">
        <f t="shared" si="7"/>
        <v>1816.2</v>
      </c>
      <c r="X13" s="16">
        <f t="shared" si="7"/>
        <v>1803.1000000000001</v>
      </c>
      <c r="Y13" s="16">
        <f t="shared" si="7"/>
        <v>1911.17</v>
      </c>
      <c r="Z13" s="16">
        <f t="shared" si="7"/>
        <v>1961.4800000000002</v>
      </c>
      <c r="AA13" s="16">
        <f t="shared" si="7"/>
        <v>1950.7999999999997</v>
      </c>
      <c r="AB13" s="16">
        <f t="shared" si="7"/>
        <v>2028.59</v>
      </c>
      <c r="AC13" s="16">
        <f t="shared" si="7"/>
        <v>2128.7599999999998</v>
      </c>
      <c r="AD13" s="16">
        <f t="shared" si="7"/>
        <v>2192.13</v>
      </c>
      <c r="AE13" s="16">
        <f t="shared" si="7"/>
        <v>2298.6200000000003</v>
      </c>
      <c r="AF13" s="16">
        <f t="shared" si="7"/>
        <v>2788.4100000000003</v>
      </c>
      <c r="AG13" s="16">
        <f t="shared" si="7"/>
        <v>2922.0299999999993</v>
      </c>
      <c r="AH13" s="16">
        <f t="shared" si="7"/>
        <v>2899.2800000000007</v>
      </c>
      <c r="AI13" s="16">
        <f t="shared" si="7"/>
        <v>3135.89</v>
      </c>
      <c r="AJ13" s="16">
        <f t="shared" si="7"/>
        <v>3385.1</v>
      </c>
      <c r="AK13" s="16">
        <f t="shared" si="7"/>
        <v>3201.8099999999995</v>
      </c>
      <c r="AL13" s="16">
        <f t="shared" si="7"/>
        <v>3258.2499999999995</v>
      </c>
      <c r="AM13" s="16">
        <f t="shared" si="7"/>
        <v>3506.9700000000003</v>
      </c>
      <c r="AN13" s="16">
        <f t="shared" si="7"/>
        <v>3516.8899999999994</v>
      </c>
      <c r="AO13" s="16">
        <f t="shared" si="7"/>
        <v>3751.2999999999997</v>
      </c>
      <c r="AP13" s="16">
        <f t="shared" si="7"/>
        <v>3647.6899999999996</v>
      </c>
      <c r="AQ13" s="16">
        <f t="shared" ref="AQ13:AY13" si="8">AQ14+AQ15</f>
        <v>3567.4299999999994</v>
      </c>
      <c r="AR13" s="16">
        <f t="shared" si="8"/>
        <v>3691.71</v>
      </c>
      <c r="AS13" s="16">
        <f t="shared" si="8"/>
        <v>3560.0899999999997</v>
      </c>
      <c r="AT13" s="16">
        <f t="shared" si="8"/>
        <v>3526.8500000000004</v>
      </c>
      <c r="AU13" s="16">
        <f t="shared" si="8"/>
        <v>3480.8</v>
      </c>
      <c r="AV13" s="16">
        <f t="shared" si="8"/>
        <v>3573.61</v>
      </c>
      <c r="AW13" s="16">
        <f t="shared" si="8"/>
        <v>3562.1299999999997</v>
      </c>
      <c r="AX13" s="16">
        <f t="shared" si="8"/>
        <v>3556.09</v>
      </c>
      <c r="AY13" s="16">
        <f t="shared" si="8"/>
        <v>3568.44</v>
      </c>
    </row>
    <row r="14" spans="1:56" ht="16.5">
      <c r="A14" s="2"/>
      <c r="B14" s="2"/>
      <c r="C14" s="42"/>
      <c r="D14" s="102" t="s">
        <v>10</v>
      </c>
      <c r="E14" s="3">
        <f>258.32+98.82+9.11+93.85+1.45+57.55+11.29</f>
        <v>530.39</v>
      </c>
      <c r="F14" s="3">
        <f>255.48+97.13+9.47+84.25+2.45+77.84+10.01</f>
        <v>536.63</v>
      </c>
      <c r="G14" s="3">
        <f>247.82+83.86+9.98+137.06+1.09+70.88+15.56</f>
        <v>566.25</v>
      </c>
      <c r="H14" s="42">
        <f>322.47+95.28+9.87+60.29+1.12+47.19+14.1</f>
        <v>550.32000000000005</v>
      </c>
      <c r="I14" s="2">
        <f>272.3+116.5+14.74+123.21+1.01+135.53+13.19</f>
        <v>676.48</v>
      </c>
      <c r="J14" s="2">
        <f>267.54+114.6+0.09+12.61+150.42+1.32+174.86+12.02</f>
        <v>733.46</v>
      </c>
      <c r="K14" s="2">
        <f>264.7+151.25+12.3+168.27+11.23+60.52+15.5</f>
        <v>683.77</v>
      </c>
      <c r="L14" s="2">
        <f>336.56+120.36+0.06+10.51+1.51+122.82+12.26</f>
        <v>604.07999999999993</v>
      </c>
      <c r="M14" s="3">
        <f>296.15+144.77+9.58+8.52+1.58+177.28+13.83</f>
        <v>651.70999999999992</v>
      </c>
      <c r="N14" s="42">
        <f>294.5+168+25.2+6.3+4.4+171.2+12.4</f>
        <v>681.99999999999989</v>
      </c>
      <c r="O14" s="42">
        <f>290.7+192.3+50.2+5+7.5+222.7+7.8</f>
        <v>776.2</v>
      </c>
      <c r="P14" s="3">
        <f>384.5+331.9+51.8+2.6+7.7+228.7+7.3</f>
        <v>1014.5</v>
      </c>
      <c r="Q14" s="3">
        <f>347.2+426.8+53.9+2.7+11.7+307.8+7.8</f>
        <v>1157.9000000000001</v>
      </c>
      <c r="R14" s="3">
        <f>348.2+419.6+282+15.4+194.4+7.9</f>
        <v>1267.5000000000002</v>
      </c>
      <c r="S14" s="3">
        <f>343.2+418.6+468+12.7+206.1+8.7</f>
        <v>1457.3</v>
      </c>
      <c r="T14" s="3">
        <f>433.9+412.4+385.5+2.6+12.1+295.2+7.2</f>
        <v>1548.8999999999999</v>
      </c>
      <c r="U14" s="3">
        <f>385.6+423.5+596.5+2.4+12.1+247.9+7.1</f>
        <v>1675.1</v>
      </c>
      <c r="V14" s="3">
        <f>384.23+473.25+451.02+2.41+49.01+307.27+8.44</f>
        <v>1675.63</v>
      </c>
      <c r="W14" s="3">
        <f>394.9+450.4+558.2+2.2+43.8+207.2+6.7</f>
        <v>1663.4</v>
      </c>
      <c r="X14" s="3">
        <f>545.1+414.4+402.4+2+17.6+252.5+6.4</f>
        <v>1640.4</v>
      </c>
      <c r="Y14" s="3">
        <f>450.62+410.9+532.7+1.9+47+272.8+5.75</f>
        <v>1721.67</v>
      </c>
      <c r="Z14" s="3">
        <f>446.68+426.62+585.55+1.89+60.73+274.87+13.18</f>
        <v>1809.5200000000002</v>
      </c>
      <c r="AA14" s="3">
        <f>452.9+440.3+617.5+0.8+73.6+215.8+10.8</f>
        <v>1811.6999999999998</v>
      </c>
      <c r="AB14" s="3">
        <f>582.53+464.96+0.45+549.12+34.59+265.37+8.98</f>
        <v>1906</v>
      </c>
      <c r="AC14" s="3">
        <f>527.5+486.77+0.45+786.13+43.99+159.58+8.83</f>
        <v>2013.2499999999998</v>
      </c>
      <c r="AD14" s="3">
        <f>503.26+475.28+0.49+835.22+42.05+206.82+8.8</f>
        <v>2071.92</v>
      </c>
      <c r="AE14" s="3">
        <f>487.86+497.64+0.55+912.29+39.35+245.1+8.78</f>
        <v>2191.5700000000002</v>
      </c>
      <c r="AF14" s="3">
        <f>601.27+518.75+0.54+1239.08+43.42+285.24+13.83</f>
        <v>2702.13</v>
      </c>
      <c r="AG14" s="3">
        <f>521.87+535.28+0.56+1488.86+55.15+231.43+9.68</f>
        <v>2842.8299999999995</v>
      </c>
      <c r="AH14" s="3">
        <f>521.43+578.97+0.64+1389.24+31.9+295.22+8.88</f>
        <v>2826.2800000000007</v>
      </c>
      <c r="AI14" s="3">
        <f>524.12+638.53+0.61+1622.14+29.85+241.66+10.11</f>
        <v>3067.02</v>
      </c>
      <c r="AJ14" s="3">
        <f>648.9+673.5+0.6+1642.7+31.9+296+11</f>
        <v>3304.6</v>
      </c>
      <c r="AK14" s="3">
        <f>576.18+680.24+0.59+1577.07+31.94+256.6+10.74</f>
        <v>3133.3599999999997</v>
      </c>
      <c r="AL14" s="3">
        <f>555.47+716.59+0.33+1572.26+44.38+274.11+9.99</f>
        <v>3173.1299999999997</v>
      </c>
      <c r="AM14" s="3">
        <f>559.59+724.67+0.32+1826.28+29.92+277.76+10.9</f>
        <v>3429.44</v>
      </c>
      <c r="AN14" s="3">
        <f>692.66+782.65+0.35+1640.06+29.81+278.5+11.47</f>
        <v>3435.4999999999995</v>
      </c>
      <c r="AO14" s="20">
        <f>653.24+836.35+0.37+1869.5+29.81+282.7+10.65</f>
        <v>3682.62</v>
      </c>
      <c r="AP14" s="20">
        <f>626.59+913.56+0.36+1710.53+37.37+288.74+11.61</f>
        <v>3588.7599999999998</v>
      </c>
      <c r="AQ14" s="20">
        <f>633.89+987.69+0.37+1554.32+32.32+289.58+10.85</f>
        <v>3509.0199999999995</v>
      </c>
      <c r="AR14" s="3">
        <f>797.45+1128.3+0.47+1367.3+34.53+293.9+11.99</f>
        <v>3633.94</v>
      </c>
      <c r="AS14" s="3">
        <f>708+1116.4+0.47+1332.37+36.89+296.55+10.94</f>
        <v>3501.62</v>
      </c>
      <c r="AT14" s="3">
        <f>705.02+1251.31+3.23+1162.98+35.81+296.34+10.53</f>
        <v>3465.2200000000003</v>
      </c>
      <c r="AU14" s="3">
        <f>714.46+1285.49+4.12+1066.28+37.36+299.07+11.54</f>
        <v>3418.32</v>
      </c>
      <c r="AV14" s="3">
        <f>929.5+1386.75+7.67+845.01+30.44+302.29+10</f>
        <v>3511.6600000000003</v>
      </c>
      <c r="AW14" s="3">
        <f>809.67+1277.68+7.59+1052.18+33.35+304.81+10.24</f>
        <v>3495.5199999999995</v>
      </c>
      <c r="AX14" s="3">
        <f>798.58+1324.38+7.09+1008.06+33.91+306.28+10.77</f>
        <v>3489.07</v>
      </c>
      <c r="AY14" s="3">
        <f>817.34+1373.33+6.83+953.67+35.26+308.52+10.14</f>
        <v>3505.09</v>
      </c>
    </row>
    <row r="15" spans="1:56" ht="16.5">
      <c r="A15" s="2"/>
      <c r="B15" s="2"/>
      <c r="C15" s="42"/>
      <c r="D15" s="102" t="s">
        <v>11</v>
      </c>
      <c r="E15" s="3">
        <f>101.23+20.96+235.09+93.45</f>
        <v>450.72999999999996</v>
      </c>
      <c r="F15" s="3">
        <f>109.07+14.36+233.61+98.82</f>
        <v>455.86</v>
      </c>
      <c r="G15" s="3">
        <f>99.89+15.23+217.53+82.12</f>
        <v>414.77</v>
      </c>
      <c r="H15" s="42">
        <f>97.77+15.68+178.13+85.44</f>
        <v>377.02</v>
      </c>
      <c r="I15" s="2">
        <f>90.25+18.52+148.22+83.03</f>
        <v>340.02</v>
      </c>
      <c r="J15" s="2">
        <f>89.2+17.98+147.77+84.51</f>
        <v>339.46000000000004</v>
      </c>
      <c r="K15" s="2">
        <f>81.53+28.8+139.24+84.21</f>
        <v>333.78</v>
      </c>
      <c r="L15" s="2">
        <f>82.51+14.93+145.28+46.02</f>
        <v>288.74</v>
      </c>
      <c r="M15" s="3">
        <f>77.29+15.49+131.81+44.37</f>
        <v>268.95999999999998</v>
      </c>
      <c r="N15" s="2">
        <f>71.1+108.9+46.1</f>
        <v>226.1</v>
      </c>
      <c r="O15" s="2">
        <f>14.5+66.3+87.2+44.5</f>
        <v>212.5</v>
      </c>
      <c r="P15" s="3">
        <f>13.6+55.1+51.7+39.6</f>
        <v>160</v>
      </c>
      <c r="Q15" s="3">
        <f>17.2+55+15.9+39.7</f>
        <v>127.80000000000001</v>
      </c>
      <c r="R15" s="2">
        <f>18.1+52.1+6.7+36.4</f>
        <v>113.30000000000001</v>
      </c>
      <c r="S15" s="2">
        <f>10.2+52+6.2+36.1</f>
        <v>104.5</v>
      </c>
      <c r="T15" s="2">
        <f>28.1+52+5.9+32.6</f>
        <v>118.6</v>
      </c>
      <c r="U15" s="3">
        <f>23.5+51.9+5.7+33.5</f>
        <v>114.60000000000001</v>
      </c>
      <c r="V15" s="3">
        <f>48.38+22.72+28.36+35.32</f>
        <v>134.78</v>
      </c>
      <c r="W15" s="3">
        <f>18.6+48.3+48+37.9</f>
        <v>152.80000000000001</v>
      </c>
      <c r="X15" s="2">
        <f>3.1+48.2+78+33.4</f>
        <v>162.70000000000002</v>
      </c>
      <c r="Y15" s="3">
        <f>28.2+48.2+78.5+34.6</f>
        <v>189.5</v>
      </c>
      <c r="Z15" s="3">
        <f>51.58+12.39+54.24+33.75</f>
        <v>151.96</v>
      </c>
      <c r="AA15" s="3">
        <f>19.9+51.6+33.8+33.8</f>
        <v>139.1</v>
      </c>
      <c r="AB15" s="2">
        <f>51.49+34.37+4.21+32.52</f>
        <v>122.59</v>
      </c>
      <c r="AC15" s="3">
        <f>51.43+28.56+3.23+32.29</f>
        <v>115.50999999999999</v>
      </c>
      <c r="AD15" s="3">
        <f>47+37.17+3.51+32.53</f>
        <v>120.21000000000001</v>
      </c>
      <c r="AE15" s="3">
        <f>46.93+26.18+2.62+31.32</f>
        <v>107.05000000000001</v>
      </c>
      <c r="AF15" s="3">
        <f>41.84+19.86+2.68+21.9</f>
        <v>86.28</v>
      </c>
      <c r="AG15" s="3">
        <f>38.28+17+1.75+22.17</f>
        <v>79.2</v>
      </c>
      <c r="AH15" s="3">
        <f>38.44+11.07+1.81+21.68</f>
        <v>73</v>
      </c>
      <c r="AI15" s="3">
        <f>44.38+1.15+0.97+22.37</f>
        <v>68.87</v>
      </c>
      <c r="AJ15" s="3">
        <f>14.5+43+1+22</f>
        <v>80.5</v>
      </c>
      <c r="AK15" s="3">
        <f>42.97+3.49+21.93+0.06</f>
        <v>68.45</v>
      </c>
      <c r="AL15" s="3">
        <f>40.33+23.6+0.05+21.14</f>
        <v>85.12</v>
      </c>
      <c r="AM15" s="3">
        <f>40.33+15.83+0.05+21.32</f>
        <v>77.53</v>
      </c>
      <c r="AN15" s="3">
        <f>40.33+20.47+0.05+20.54</f>
        <v>81.389999999999986</v>
      </c>
      <c r="AO15" s="20">
        <f>40.33+7.4+0.05+20.9</f>
        <v>68.679999999999993</v>
      </c>
      <c r="AP15" s="20">
        <f>37.2+0.05+0.05+21.63</f>
        <v>58.929999999999993</v>
      </c>
      <c r="AQ15" s="20">
        <f>36.06+0.05+0.06+22.24</f>
        <v>58.41</v>
      </c>
      <c r="AR15" s="3">
        <f>35.46+0.05+0.06+22.2</f>
        <v>57.769999999999996</v>
      </c>
      <c r="AS15" s="3">
        <f>35.47+0.05+0.06+22.89</f>
        <v>58.47</v>
      </c>
      <c r="AT15" s="3">
        <f>39.69+0.05+0.06+21.83</f>
        <v>61.629999999999995</v>
      </c>
      <c r="AU15" s="3">
        <f>39.45+0.05+0.05+22.93</f>
        <v>62.48</v>
      </c>
      <c r="AV15" s="3">
        <f>39.48+0.05+0.05+22.37</f>
        <v>61.949999999999989</v>
      </c>
      <c r="AW15" s="3">
        <f>43.66+0.05+0.05+22.85</f>
        <v>66.609999999999985</v>
      </c>
      <c r="AX15" s="3">
        <f>44.35+0.05+0.05+22.57</f>
        <v>67.02</v>
      </c>
      <c r="AY15" s="3">
        <f>39.33+0.05+0.05+23.92</f>
        <v>63.349999999999994</v>
      </c>
    </row>
    <row r="16" spans="1:56" ht="16.5">
      <c r="A16" s="2"/>
      <c r="B16" s="2"/>
      <c r="C16" s="42"/>
      <c r="D16" s="2"/>
      <c r="E16" s="2"/>
      <c r="F16" s="2"/>
      <c r="G16" s="2"/>
      <c r="H16" s="2"/>
      <c r="I16" s="2"/>
      <c r="J16" s="2"/>
      <c r="K16" s="2"/>
      <c r="L16" s="2"/>
      <c r="M16" s="3"/>
      <c r="N16" s="3"/>
      <c r="O16" s="3"/>
      <c r="P16" s="3"/>
      <c r="Q16" s="96"/>
      <c r="R16" s="96"/>
      <c r="S16" s="96"/>
      <c r="T16" s="96"/>
      <c r="U16" s="96"/>
      <c r="V16" s="96"/>
      <c r="W16" s="96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103"/>
      <c r="AO16" s="104"/>
      <c r="AP16" s="104"/>
      <c r="AQ16" s="4"/>
      <c r="AR16" s="97"/>
      <c r="AS16" s="4"/>
      <c r="AU16" s="4"/>
      <c r="AV16" s="4"/>
      <c r="AW16" s="4"/>
    </row>
    <row r="17" spans="1:56" ht="16.5">
      <c r="A17" s="40"/>
      <c r="B17" s="40"/>
      <c r="C17" s="100" t="s">
        <v>64</v>
      </c>
      <c r="D17" s="40" t="s">
        <v>65</v>
      </c>
      <c r="E17" s="15">
        <f t="shared" ref="E17:AP17" si="9">E18+E19</f>
        <v>399.774</v>
      </c>
      <c r="F17" s="15">
        <f t="shared" si="9"/>
        <v>401.517</v>
      </c>
      <c r="G17" s="15">
        <f t="shared" si="9"/>
        <v>390.25099999999998</v>
      </c>
      <c r="H17" s="15">
        <f t="shared" si="9"/>
        <v>404.20000000000005</v>
      </c>
      <c r="I17" s="15">
        <f t="shared" si="9"/>
        <v>404.14503999999999</v>
      </c>
      <c r="J17" s="15">
        <f t="shared" si="9"/>
        <v>411.01</v>
      </c>
      <c r="K17" s="15">
        <f t="shared" si="9"/>
        <v>443.41600000000005</v>
      </c>
      <c r="L17" s="15">
        <f t="shared" si="9"/>
        <v>158.30000000000001</v>
      </c>
      <c r="M17" s="15">
        <f t="shared" si="9"/>
        <v>160.61099999999999</v>
      </c>
      <c r="N17" s="15">
        <f t="shared" si="9"/>
        <v>166.785</v>
      </c>
      <c r="O17" s="15">
        <f t="shared" si="9"/>
        <v>150.92475999999999</v>
      </c>
      <c r="P17" s="15">
        <f t="shared" si="9"/>
        <v>151.86774000000003</v>
      </c>
      <c r="Q17" s="15">
        <f t="shared" si="9"/>
        <v>145.61596</v>
      </c>
      <c r="R17" s="15">
        <f t="shared" si="9"/>
        <v>172.26737</v>
      </c>
      <c r="S17" s="15">
        <f t="shared" si="9"/>
        <v>183.76158999999998</v>
      </c>
      <c r="T17" s="15">
        <f t="shared" si="9"/>
        <v>175.143</v>
      </c>
      <c r="U17" s="15">
        <f t="shared" si="9"/>
        <v>219.53399999999999</v>
      </c>
      <c r="V17" s="15">
        <f t="shared" si="9"/>
        <v>252.67500000000001</v>
      </c>
      <c r="W17" s="15">
        <f t="shared" si="9"/>
        <v>165.91800000000001</v>
      </c>
      <c r="X17" s="16">
        <f t="shared" si="9"/>
        <v>177.65899999999999</v>
      </c>
      <c r="Y17" s="16">
        <f t="shared" si="9"/>
        <v>167.38499999999999</v>
      </c>
      <c r="Z17" s="16">
        <f t="shared" si="9"/>
        <v>177.79900000000001</v>
      </c>
      <c r="AA17" s="16">
        <f t="shared" si="9"/>
        <v>169.89099999999999</v>
      </c>
      <c r="AB17" s="16">
        <f t="shared" si="9"/>
        <v>175.76599999999999</v>
      </c>
      <c r="AC17" s="16">
        <f t="shared" si="9"/>
        <v>188.83499999999998</v>
      </c>
      <c r="AD17" s="16">
        <f t="shared" si="9"/>
        <v>162.172</v>
      </c>
      <c r="AE17" s="16">
        <f t="shared" si="9"/>
        <v>153.553</v>
      </c>
      <c r="AF17" s="16">
        <f t="shared" si="9"/>
        <v>194.24700000000001</v>
      </c>
      <c r="AG17" s="16">
        <f t="shared" si="9"/>
        <v>170.37385</v>
      </c>
      <c r="AH17" s="16">
        <f t="shared" si="9"/>
        <v>172.09656999999999</v>
      </c>
      <c r="AI17" s="16">
        <f t="shared" si="9"/>
        <v>178.60353999999998</v>
      </c>
      <c r="AJ17" s="16">
        <f t="shared" si="9"/>
        <v>182.59868</v>
      </c>
      <c r="AK17" s="16">
        <f t="shared" si="9"/>
        <v>144.96458999999999</v>
      </c>
      <c r="AL17" s="16">
        <f t="shared" si="9"/>
        <v>144.77347</v>
      </c>
      <c r="AM17" s="16">
        <f t="shared" si="9"/>
        <v>179.22969999999998</v>
      </c>
      <c r="AN17" s="16">
        <f t="shared" si="9"/>
        <v>143.61049</v>
      </c>
      <c r="AO17" s="105">
        <f t="shared" si="9"/>
        <v>136.31218000000001</v>
      </c>
      <c r="AP17" s="105">
        <f t="shared" si="9"/>
        <v>136.47399999999999</v>
      </c>
      <c r="AQ17" s="16">
        <f>AQ18+AQ19</f>
        <v>138.70744999999999</v>
      </c>
      <c r="AR17" s="16">
        <f>AR18+AR19</f>
        <v>138.46555000000001</v>
      </c>
      <c r="AS17" s="16">
        <f t="shared" ref="AS17:AY17" si="10">AS18+AS19</f>
        <v>134.37513000000001</v>
      </c>
      <c r="AT17" s="16">
        <f t="shared" si="10"/>
        <v>123.71317000000001</v>
      </c>
      <c r="AU17" s="16">
        <f t="shared" si="10"/>
        <v>113.35759</v>
      </c>
      <c r="AV17" s="16">
        <f t="shared" si="10"/>
        <v>120.05295</v>
      </c>
      <c r="AW17" s="16">
        <f t="shared" si="10"/>
        <v>108.42917</v>
      </c>
      <c r="AX17" s="16">
        <f t="shared" si="10"/>
        <v>109.27671000000001</v>
      </c>
      <c r="AY17" s="16">
        <f t="shared" si="10"/>
        <v>127.64558</v>
      </c>
    </row>
    <row r="18" spans="1:56" ht="16.5">
      <c r="A18" s="2"/>
      <c r="B18" s="2"/>
      <c r="C18" s="2"/>
      <c r="D18" s="102" t="s">
        <v>10</v>
      </c>
      <c r="E18" s="42">
        <f>[1]GFIs!C10</f>
        <v>237.82</v>
      </c>
      <c r="F18" s="42">
        <f>[1]GFIs!D10</f>
        <v>236.49799999999999</v>
      </c>
      <c r="G18" s="42">
        <f>[1]GFIs!E10</f>
        <v>235.91900000000001</v>
      </c>
      <c r="H18" s="42">
        <v>246.4</v>
      </c>
      <c r="I18" s="42">
        <f>[1]GFIs!G10</f>
        <v>246.35068999999999</v>
      </c>
      <c r="J18" s="42">
        <f>[1]GFIs!H10</f>
        <v>238.28</v>
      </c>
      <c r="K18" s="42">
        <f>[1]GFIs!I10</f>
        <v>261.31300000000005</v>
      </c>
      <c r="L18" s="42">
        <v>6.8</v>
      </c>
      <c r="M18" s="42">
        <v>8.9749999999999996</v>
      </c>
      <c r="N18" s="42">
        <v>8.8469999999999995</v>
      </c>
      <c r="O18" s="42">
        <v>6.5712799999999998</v>
      </c>
      <c r="P18" s="42">
        <v>11.36689</v>
      </c>
      <c r="Q18" s="42">
        <v>12.854660000000001</v>
      </c>
      <c r="R18" s="42">
        <v>10.75</v>
      </c>
      <c r="S18" s="42">
        <v>29.903890000000001</v>
      </c>
      <c r="T18" s="42">
        <v>41.951000000000001</v>
      </c>
      <c r="U18" s="42">
        <v>72.147000000000006</v>
      </c>
      <c r="V18" s="42">
        <v>104.167</v>
      </c>
      <c r="W18" s="42">
        <v>8.7560000000000002</v>
      </c>
      <c r="X18" s="42">
        <v>11.06</v>
      </c>
      <c r="Y18" s="42">
        <v>6.9820000000000002</v>
      </c>
      <c r="Z18" s="42">
        <v>6.4669999999999996</v>
      </c>
      <c r="AA18" s="42">
        <v>6.4569999999999999</v>
      </c>
      <c r="AB18" s="42">
        <v>7.7510000000000003</v>
      </c>
      <c r="AC18" s="42">
        <v>7.3019999999999996</v>
      </c>
      <c r="AD18" s="42">
        <v>23.338000000000001</v>
      </c>
      <c r="AE18" s="42">
        <v>14.464</v>
      </c>
      <c r="AF18" s="42">
        <v>23.175000000000001</v>
      </c>
      <c r="AG18" s="42">
        <v>20.23507</v>
      </c>
      <c r="AH18" s="42">
        <v>19.88214</v>
      </c>
      <c r="AI18" s="42">
        <v>19.988689999999998</v>
      </c>
      <c r="AJ18" s="42">
        <v>20.737649999999999</v>
      </c>
      <c r="AK18" s="42">
        <v>36.801319999999997</v>
      </c>
      <c r="AL18" s="42">
        <v>37.053719999999998</v>
      </c>
      <c r="AM18" s="42">
        <v>36.514629999999997</v>
      </c>
      <c r="AN18" s="42">
        <v>7.6735100000000003</v>
      </c>
      <c r="AO18" s="44">
        <v>6.7873799999999997</v>
      </c>
      <c r="AP18" s="44">
        <v>5.67</v>
      </c>
      <c r="AQ18" s="44">
        <v>4.7339900000000004</v>
      </c>
      <c r="AR18" s="42">
        <v>4.8330099999999998</v>
      </c>
      <c r="AS18" s="42">
        <v>4.2591299999999999</v>
      </c>
      <c r="AT18" s="42">
        <v>4.5593399999999997</v>
      </c>
      <c r="AU18" s="42">
        <v>4.6136900000000001</v>
      </c>
      <c r="AV18" s="42">
        <v>5.1227600000000004</v>
      </c>
      <c r="AW18" s="42">
        <v>4.1133199999999999</v>
      </c>
      <c r="AX18" s="42">
        <v>3.4537200000000001</v>
      </c>
      <c r="AY18" s="42">
        <v>4.7602099999999998</v>
      </c>
    </row>
    <row r="19" spans="1:56" ht="16.5">
      <c r="A19" s="2"/>
      <c r="B19" s="2"/>
      <c r="C19" s="2"/>
      <c r="D19" s="102" t="s">
        <v>11</v>
      </c>
      <c r="E19" s="42">
        <f>[1]GFIs!C17</f>
        <v>161.95400000000001</v>
      </c>
      <c r="F19" s="42">
        <f>[1]GFIs!D17</f>
        <v>165.01900000000001</v>
      </c>
      <c r="G19" s="42">
        <f>[1]GFIs!E17</f>
        <v>154.33199999999999</v>
      </c>
      <c r="H19" s="42">
        <v>157.80000000000001</v>
      </c>
      <c r="I19" s="42">
        <f>[1]GFIs!G17</f>
        <v>157.79435000000001</v>
      </c>
      <c r="J19" s="42">
        <f>[1]GFIs!H17</f>
        <v>172.73000000000002</v>
      </c>
      <c r="K19" s="42">
        <f>[1]GFIs!I17</f>
        <v>182.10300000000001</v>
      </c>
      <c r="L19" s="42">
        <v>151.5</v>
      </c>
      <c r="M19" s="42">
        <v>151.636</v>
      </c>
      <c r="N19" s="42">
        <v>157.93799999999999</v>
      </c>
      <c r="O19" s="42">
        <v>144.35347999999999</v>
      </c>
      <c r="P19" s="42">
        <v>140.50085000000001</v>
      </c>
      <c r="Q19" s="42">
        <v>132.76130000000001</v>
      </c>
      <c r="R19" s="42">
        <v>161.51737</v>
      </c>
      <c r="S19" s="42">
        <v>153.85769999999999</v>
      </c>
      <c r="T19" s="42">
        <v>133.19200000000001</v>
      </c>
      <c r="U19" s="42">
        <v>147.387</v>
      </c>
      <c r="V19" s="42">
        <v>148.50800000000001</v>
      </c>
      <c r="W19" s="42">
        <v>157.16200000000001</v>
      </c>
      <c r="X19" s="42">
        <v>166.59899999999999</v>
      </c>
      <c r="Y19" s="42">
        <v>160.40299999999999</v>
      </c>
      <c r="Z19" s="42">
        <v>171.33199999999999</v>
      </c>
      <c r="AA19" s="42">
        <v>163.434</v>
      </c>
      <c r="AB19" s="42">
        <v>168.01499999999999</v>
      </c>
      <c r="AC19" s="42">
        <v>181.53299999999999</v>
      </c>
      <c r="AD19" s="42">
        <v>138.834</v>
      </c>
      <c r="AE19" s="42">
        <v>139.089</v>
      </c>
      <c r="AF19" s="42">
        <v>171.072</v>
      </c>
      <c r="AG19" s="42">
        <v>150.13878</v>
      </c>
      <c r="AH19" s="42">
        <v>152.21442999999999</v>
      </c>
      <c r="AI19" s="42">
        <v>158.61484999999999</v>
      </c>
      <c r="AJ19" s="42">
        <v>161.86103</v>
      </c>
      <c r="AK19" s="42">
        <v>108.16327</v>
      </c>
      <c r="AL19" s="42">
        <v>107.71975</v>
      </c>
      <c r="AM19" s="42">
        <v>142.71507</v>
      </c>
      <c r="AN19" s="42">
        <v>135.93698000000001</v>
      </c>
      <c r="AO19" s="44">
        <v>129.5248</v>
      </c>
      <c r="AP19" s="44">
        <v>130.804</v>
      </c>
      <c r="AQ19" s="44">
        <v>133.97345999999999</v>
      </c>
      <c r="AR19" s="42">
        <v>133.63254000000001</v>
      </c>
      <c r="AS19" s="42">
        <v>130.11600000000001</v>
      </c>
      <c r="AT19" s="42">
        <v>119.15383</v>
      </c>
      <c r="AU19" s="42">
        <v>108.7439</v>
      </c>
      <c r="AV19" s="42">
        <v>114.93019</v>
      </c>
      <c r="AW19" s="42">
        <v>104.31585</v>
      </c>
      <c r="AX19" s="42">
        <v>105.82299</v>
      </c>
      <c r="AY19" s="42">
        <v>122.88536999999999</v>
      </c>
    </row>
    <row r="20" spans="1:56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96"/>
      <c r="R20" s="96"/>
      <c r="S20" s="96"/>
      <c r="T20" s="96"/>
      <c r="U20" s="96"/>
      <c r="V20" s="96"/>
      <c r="W20" s="96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03"/>
      <c r="AN20" s="3"/>
      <c r="AO20" s="4"/>
      <c r="AP20" s="4"/>
      <c r="AQ20" s="4"/>
      <c r="AR20" s="97"/>
      <c r="AS20" s="4"/>
      <c r="AU20" s="4"/>
      <c r="AV20" s="4"/>
      <c r="AW20" s="4"/>
    </row>
    <row r="21" spans="1:56" ht="16.5">
      <c r="A21" s="39" t="s">
        <v>14</v>
      </c>
      <c r="B21" s="40" t="s">
        <v>66</v>
      </c>
      <c r="C21" s="40"/>
      <c r="D21" s="40"/>
      <c r="E21" s="15">
        <f t="shared" ref="E21:AY21" si="11">E22+E23</f>
        <v>5869.8161797923403</v>
      </c>
      <c r="F21" s="15">
        <f t="shared" si="11"/>
        <v>5884.4443947808795</v>
      </c>
      <c r="G21" s="15">
        <f t="shared" si="11"/>
        <v>5962.4342297338699</v>
      </c>
      <c r="H21" s="15">
        <f t="shared" si="11"/>
        <v>5960.3180920000004</v>
      </c>
      <c r="I21" s="15">
        <f t="shared" si="11"/>
        <v>6034.3125989999999</v>
      </c>
      <c r="J21" s="15">
        <f t="shared" si="11"/>
        <v>6201.4872169399905</v>
      </c>
      <c r="K21" s="15">
        <f t="shared" si="11"/>
        <v>6271.6576132988412</v>
      </c>
      <c r="L21" s="15">
        <f t="shared" si="11"/>
        <v>5726.5609856996507</v>
      </c>
      <c r="M21" s="15">
        <f t="shared" si="11"/>
        <v>5659.0272836860695</v>
      </c>
      <c r="N21" s="15">
        <f t="shared" si="11"/>
        <v>5699.3814071036904</v>
      </c>
      <c r="O21" s="15">
        <f t="shared" si="11"/>
        <v>5619.5589623782507</v>
      </c>
      <c r="P21" s="15">
        <f t="shared" si="11"/>
        <v>5781.3559504835994</v>
      </c>
      <c r="Q21" s="15">
        <f t="shared" si="11"/>
        <v>5856.5078564915002</v>
      </c>
      <c r="R21" s="15">
        <f t="shared" si="11"/>
        <v>5746.1991096792808</v>
      </c>
      <c r="S21" s="15">
        <f t="shared" si="11"/>
        <v>5933.59390803727</v>
      </c>
      <c r="T21" s="15">
        <f t="shared" si="11"/>
        <v>5868.9384029436596</v>
      </c>
      <c r="U21" s="15">
        <f t="shared" si="11"/>
        <v>6097.2576871829096</v>
      </c>
      <c r="V21" s="15">
        <f t="shared" si="11"/>
        <v>6302.1387272411303</v>
      </c>
      <c r="W21" s="15">
        <f t="shared" si="11"/>
        <v>6399.8459734016305</v>
      </c>
      <c r="X21" s="15">
        <f t="shared" si="11"/>
        <v>6472.5673928716797</v>
      </c>
      <c r="Y21" s="15">
        <f t="shared" si="11"/>
        <v>6541.3383944249399</v>
      </c>
      <c r="Z21" s="15">
        <f t="shared" si="11"/>
        <v>6647.3973211235007</v>
      </c>
      <c r="AA21" s="15">
        <f t="shared" si="11"/>
        <v>6681.2595038651998</v>
      </c>
      <c r="AB21" s="15">
        <f t="shared" si="11"/>
        <v>6862.5203984216896</v>
      </c>
      <c r="AC21" s="15">
        <f t="shared" si="11"/>
        <v>6914.1533010238891</v>
      </c>
      <c r="AD21" s="15">
        <f t="shared" si="11"/>
        <v>7082.0037430946504</v>
      </c>
      <c r="AE21" s="15">
        <f t="shared" si="11"/>
        <v>7226.7131681352294</v>
      </c>
      <c r="AF21" s="16">
        <f t="shared" si="11"/>
        <v>7802.0681744796002</v>
      </c>
      <c r="AG21" s="16">
        <f t="shared" si="11"/>
        <v>8103.9816475073094</v>
      </c>
      <c r="AH21" s="16">
        <f t="shared" si="11"/>
        <v>8165.6755581607504</v>
      </c>
      <c r="AI21" s="16">
        <f t="shared" si="11"/>
        <v>8775.21885189555</v>
      </c>
      <c r="AJ21" s="16">
        <f t="shared" si="11"/>
        <v>8934.8733242563103</v>
      </c>
      <c r="AK21" s="16">
        <f t="shared" si="11"/>
        <v>8853.7269027900293</v>
      </c>
      <c r="AL21" s="16">
        <f t="shared" si="11"/>
        <v>8846.6711082682741</v>
      </c>
      <c r="AM21" s="16">
        <f t="shared" si="11"/>
        <v>9119.4636135212313</v>
      </c>
      <c r="AN21" s="16">
        <f t="shared" si="11"/>
        <v>9253.8374659245401</v>
      </c>
      <c r="AO21" s="16">
        <f t="shared" si="11"/>
        <v>9332.0648912868091</v>
      </c>
      <c r="AP21" s="16">
        <f t="shared" si="11"/>
        <v>9484.0684932170498</v>
      </c>
      <c r="AQ21" s="16">
        <f t="shared" si="11"/>
        <v>9574.1025223147499</v>
      </c>
      <c r="AR21" s="16">
        <f t="shared" si="11"/>
        <v>9744.4254150163706</v>
      </c>
      <c r="AS21" s="16">
        <f t="shared" si="11"/>
        <v>9573.4340709425705</v>
      </c>
      <c r="AT21" s="16">
        <f t="shared" si="11"/>
        <v>9651.3527194015987</v>
      </c>
      <c r="AU21" s="16">
        <f t="shared" si="11"/>
        <v>9675.3611303807593</v>
      </c>
      <c r="AV21" s="16">
        <f t="shared" si="11"/>
        <v>9741.325008068341</v>
      </c>
      <c r="AW21" s="16">
        <f t="shared" si="11"/>
        <v>9760.8049799687305</v>
      </c>
      <c r="AX21" s="16">
        <f t="shared" si="11"/>
        <v>9767.5037298354982</v>
      </c>
      <c r="AY21" s="16">
        <f t="shared" si="11"/>
        <v>9935.35941655229</v>
      </c>
    </row>
    <row r="22" spans="1:56" ht="16.5">
      <c r="A22" s="2"/>
      <c r="B22" s="2"/>
      <c r="C22" s="2" t="s">
        <v>10</v>
      </c>
      <c r="D22" s="2"/>
      <c r="E22" s="22">
        <f t="shared" ref="E22:AV23" si="12">E6+E10</f>
        <v>2193.42691979234</v>
      </c>
      <c r="F22" s="22">
        <f t="shared" si="12"/>
        <v>2202.3772907808798</v>
      </c>
      <c r="G22" s="22">
        <f t="shared" si="12"/>
        <v>2322.92743973387</v>
      </c>
      <c r="H22" s="22">
        <f t="shared" si="12"/>
        <v>2370.4181600000002</v>
      </c>
      <c r="I22" s="22">
        <f t="shared" si="12"/>
        <v>2525.7114839999999</v>
      </c>
      <c r="J22" s="22">
        <f t="shared" si="12"/>
        <v>2608.3214219399902</v>
      </c>
      <c r="K22" s="22">
        <f t="shared" si="12"/>
        <v>2630.1764602988405</v>
      </c>
      <c r="L22" s="22">
        <f t="shared" si="12"/>
        <v>2437.0232804996899</v>
      </c>
      <c r="M22" s="22">
        <f t="shared" si="12"/>
        <v>2324.8823161604096</v>
      </c>
      <c r="N22" s="22">
        <f t="shared" si="12"/>
        <v>2347.2426949482301</v>
      </c>
      <c r="O22" s="22">
        <f t="shared" si="12"/>
        <v>2442.1196174510401</v>
      </c>
      <c r="P22" s="22">
        <f t="shared" si="12"/>
        <v>2751.6151579647899</v>
      </c>
      <c r="Q22" s="22">
        <f t="shared" si="12"/>
        <v>2839.0346838845298</v>
      </c>
      <c r="R22" s="22">
        <f t="shared" si="12"/>
        <v>2865.7279860581802</v>
      </c>
      <c r="S22" s="22">
        <f t="shared" si="12"/>
        <v>3134.9070203854799</v>
      </c>
      <c r="T22" s="22">
        <f t="shared" si="12"/>
        <v>3297.1872055783997</v>
      </c>
      <c r="U22" s="22">
        <f t="shared" si="12"/>
        <v>3424.9886471756299</v>
      </c>
      <c r="V22" s="22">
        <f t="shared" si="12"/>
        <v>3570.2876257927601</v>
      </c>
      <c r="W22" s="22">
        <f t="shared" si="12"/>
        <v>3728.2793042470403</v>
      </c>
      <c r="X22" s="22">
        <f t="shared" si="12"/>
        <v>3514.7729565427899</v>
      </c>
      <c r="Y22" s="22">
        <f t="shared" si="12"/>
        <v>3532.0997224971097</v>
      </c>
      <c r="Z22" s="22">
        <f t="shared" si="12"/>
        <v>3632.0619155919303</v>
      </c>
      <c r="AA22" s="22">
        <f t="shared" si="12"/>
        <v>3672.9327776947098</v>
      </c>
      <c r="AB22" s="22">
        <f t="shared" si="12"/>
        <v>3832.6641097279498</v>
      </c>
      <c r="AC22" s="22">
        <f t="shared" si="12"/>
        <v>3913.7015437080195</v>
      </c>
      <c r="AD22" s="22">
        <f t="shared" si="12"/>
        <v>4065.3722293739102</v>
      </c>
      <c r="AE22" s="22">
        <f t="shared" si="12"/>
        <v>4307.3117861385399</v>
      </c>
      <c r="AF22" s="22">
        <f t="shared" si="12"/>
        <v>4935.5694233212107</v>
      </c>
      <c r="AG22" s="22">
        <f t="shared" si="12"/>
        <v>5187.8431726520794</v>
      </c>
      <c r="AH22" s="22">
        <f t="shared" si="12"/>
        <v>5244.1224051490608</v>
      </c>
      <c r="AI22" s="22">
        <f t="shared" si="12"/>
        <v>5832.4278343777296</v>
      </c>
      <c r="AJ22" s="22">
        <f t="shared" si="12"/>
        <v>6068.6990824373797</v>
      </c>
      <c r="AK22" s="22">
        <f t="shared" si="12"/>
        <v>6337.4640627900299</v>
      </c>
      <c r="AL22" s="22">
        <f t="shared" si="12"/>
        <v>6376.178058268275</v>
      </c>
      <c r="AM22" s="22">
        <f t="shared" si="12"/>
        <v>6645.0831035212304</v>
      </c>
      <c r="AN22" s="22">
        <f t="shared" si="12"/>
        <v>6926.6801559245396</v>
      </c>
      <c r="AO22" s="22">
        <f t="shared" si="12"/>
        <v>7123.7203712868104</v>
      </c>
      <c r="AP22" s="22">
        <f t="shared" si="12"/>
        <v>7205.8434832170497</v>
      </c>
      <c r="AQ22" s="22">
        <f t="shared" si="12"/>
        <v>7314.8536923147494</v>
      </c>
      <c r="AR22" s="22">
        <f t="shared" si="12"/>
        <v>7472.0230550163706</v>
      </c>
      <c r="AS22" s="22">
        <f t="shared" si="12"/>
        <v>7285.7475309425699</v>
      </c>
      <c r="AT22" s="22">
        <f t="shared" si="12"/>
        <v>7425.7422494016</v>
      </c>
      <c r="AU22" s="22">
        <f t="shared" si="12"/>
        <v>7416.4552503807599</v>
      </c>
      <c r="AV22" s="22">
        <f t="shared" si="12"/>
        <v>7536.0615180683408</v>
      </c>
      <c r="AW22" s="22">
        <f t="shared" ref="AW22:BD22" si="13">AW6+AW10</f>
        <v>7545.1683499687297</v>
      </c>
      <c r="AX22" s="22">
        <f t="shared" si="13"/>
        <v>7508.2473498354993</v>
      </c>
      <c r="AY22" s="22">
        <f t="shared" si="13"/>
        <v>7584.7677376396896</v>
      </c>
      <c r="AZ22" s="22">
        <f t="shared" si="13"/>
        <v>0</v>
      </c>
      <c r="BA22" s="22">
        <f t="shared" si="13"/>
        <v>0</v>
      </c>
      <c r="BB22" s="22">
        <f t="shared" si="13"/>
        <v>0</v>
      </c>
      <c r="BC22" s="22">
        <f t="shared" si="13"/>
        <v>0</v>
      </c>
      <c r="BD22" s="22">
        <f t="shared" si="13"/>
        <v>0</v>
      </c>
    </row>
    <row r="23" spans="1:56" ht="16.5">
      <c r="A23" s="2"/>
      <c r="B23" s="2"/>
      <c r="C23" s="2" t="s">
        <v>11</v>
      </c>
      <c r="D23" s="2"/>
      <c r="E23" s="22">
        <f t="shared" si="12"/>
        <v>3676.3892599999999</v>
      </c>
      <c r="F23" s="22">
        <f t="shared" si="12"/>
        <v>3682.0671039999997</v>
      </c>
      <c r="G23" s="22">
        <f t="shared" si="12"/>
        <v>3639.5067899999999</v>
      </c>
      <c r="H23" s="22">
        <f t="shared" si="12"/>
        <v>3589.8999320000003</v>
      </c>
      <c r="I23" s="22">
        <f t="shared" si="12"/>
        <v>3508.6011149999999</v>
      </c>
      <c r="J23" s="22">
        <f t="shared" si="12"/>
        <v>3593.1657950000003</v>
      </c>
      <c r="K23" s="22">
        <f t="shared" si="12"/>
        <v>3641.4811530000006</v>
      </c>
      <c r="L23" s="22">
        <f t="shared" si="12"/>
        <v>3289.5377051999603</v>
      </c>
      <c r="M23" s="22">
        <f t="shared" si="12"/>
        <v>3334.1449675256604</v>
      </c>
      <c r="N23" s="22">
        <f t="shared" si="12"/>
        <v>3352.1387121554599</v>
      </c>
      <c r="O23" s="22">
        <f t="shared" si="12"/>
        <v>3177.4393449272102</v>
      </c>
      <c r="P23" s="22">
        <f t="shared" si="12"/>
        <v>3029.7407925188099</v>
      </c>
      <c r="Q23" s="22">
        <f t="shared" si="12"/>
        <v>3017.4731726069704</v>
      </c>
      <c r="R23" s="22">
        <f t="shared" si="12"/>
        <v>2880.4711236211006</v>
      </c>
      <c r="S23" s="22">
        <f t="shared" si="12"/>
        <v>2798.6868876517901</v>
      </c>
      <c r="T23" s="22">
        <f t="shared" si="12"/>
        <v>2571.7511973652599</v>
      </c>
      <c r="U23" s="22">
        <f t="shared" si="12"/>
        <v>2672.2690400072802</v>
      </c>
      <c r="V23" s="22">
        <f t="shared" si="12"/>
        <v>2731.8511014483702</v>
      </c>
      <c r="W23" s="22">
        <f t="shared" si="12"/>
        <v>2671.5666691545898</v>
      </c>
      <c r="X23" s="22">
        <f t="shared" si="12"/>
        <v>2957.7944363288898</v>
      </c>
      <c r="Y23" s="22">
        <f t="shared" si="12"/>
        <v>3009.2386719278302</v>
      </c>
      <c r="Z23" s="22">
        <f t="shared" si="12"/>
        <v>3015.3354055315699</v>
      </c>
      <c r="AA23" s="22">
        <f t="shared" si="12"/>
        <v>3008.32672617049</v>
      </c>
      <c r="AB23" s="22">
        <f t="shared" si="12"/>
        <v>3029.8562886937402</v>
      </c>
      <c r="AC23" s="22">
        <f t="shared" si="12"/>
        <v>3000.4517573158701</v>
      </c>
      <c r="AD23" s="22">
        <f t="shared" si="12"/>
        <v>3016.6315137207403</v>
      </c>
      <c r="AE23" s="22">
        <f t="shared" si="12"/>
        <v>2919.4013819966899</v>
      </c>
      <c r="AF23" s="22">
        <f t="shared" si="12"/>
        <v>2866.4987511583895</v>
      </c>
      <c r="AG23" s="22">
        <f t="shared" si="12"/>
        <v>2916.13847485523</v>
      </c>
      <c r="AH23" s="22">
        <f t="shared" si="12"/>
        <v>2921.55315301169</v>
      </c>
      <c r="AI23" s="22">
        <f t="shared" si="12"/>
        <v>2942.7910175178199</v>
      </c>
      <c r="AJ23" s="22">
        <f t="shared" si="12"/>
        <v>2866.1742418189301</v>
      </c>
      <c r="AK23" s="22">
        <f t="shared" si="12"/>
        <v>2516.2628399999994</v>
      </c>
      <c r="AL23" s="22">
        <f t="shared" si="12"/>
        <v>2470.49305</v>
      </c>
      <c r="AM23" s="22">
        <f t="shared" si="12"/>
        <v>2474.38051</v>
      </c>
      <c r="AN23" s="22">
        <f t="shared" si="12"/>
        <v>2327.1573100000001</v>
      </c>
      <c r="AO23" s="22">
        <f t="shared" si="12"/>
        <v>2208.3445199999996</v>
      </c>
      <c r="AP23" s="22">
        <f t="shared" si="12"/>
        <v>2278.2250100000001</v>
      </c>
      <c r="AQ23" s="22">
        <f t="shared" si="12"/>
        <v>2259.2488300000005</v>
      </c>
      <c r="AR23" s="22">
        <f t="shared" si="12"/>
        <v>2272.40236</v>
      </c>
      <c r="AS23" s="22">
        <f t="shared" si="12"/>
        <v>2287.6865399999997</v>
      </c>
      <c r="AT23" s="22">
        <f t="shared" si="12"/>
        <v>2225.6104699999996</v>
      </c>
      <c r="AU23" s="22">
        <f t="shared" si="12"/>
        <v>2258.9058799999998</v>
      </c>
      <c r="AV23" s="22">
        <f t="shared" si="12"/>
        <v>2205.2634899999998</v>
      </c>
      <c r="AW23" s="22">
        <f t="shared" ref="AW23:BD23" si="14">AW7+AW11</f>
        <v>2215.6366300000004</v>
      </c>
      <c r="AX23" s="22">
        <f t="shared" si="14"/>
        <v>2259.2563799999998</v>
      </c>
      <c r="AY23" s="22">
        <f t="shared" si="14"/>
        <v>2350.5916789125999</v>
      </c>
      <c r="AZ23" s="22">
        <f t="shared" si="14"/>
        <v>0</v>
      </c>
      <c r="BA23" s="22">
        <f t="shared" si="14"/>
        <v>0</v>
      </c>
      <c r="BB23" s="22">
        <f t="shared" si="14"/>
        <v>0</v>
      </c>
      <c r="BC23" s="22">
        <f t="shared" si="14"/>
        <v>0</v>
      </c>
      <c r="BD23" s="22">
        <f t="shared" si="14"/>
        <v>0</v>
      </c>
    </row>
    <row r="24" spans="1:56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  <c r="Q24" s="96"/>
      <c r="R24" s="96"/>
      <c r="S24" s="96"/>
      <c r="T24" s="96"/>
      <c r="U24" s="96"/>
      <c r="V24" s="96"/>
      <c r="W24" s="9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4"/>
      <c r="AP24" s="4"/>
      <c r="AQ24" s="4"/>
      <c r="AR24" s="97"/>
      <c r="AS24" s="4"/>
      <c r="AU24" s="4"/>
      <c r="AV24" s="4"/>
      <c r="AW24" s="4"/>
    </row>
    <row r="25" spans="1:56" ht="16.5">
      <c r="A25" s="23" t="s">
        <v>67</v>
      </c>
      <c r="B25" s="46" t="s">
        <v>32</v>
      </c>
      <c r="C25" s="24"/>
      <c r="D25" s="24"/>
      <c r="E25" s="45">
        <f t="shared" ref="E25:L25" si="15">E26+E37</f>
        <v>708.88514480200001</v>
      </c>
      <c r="F25" s="45">
        <f t="shared" si="15"/>
        <v>692.44489928460007</v>
      </c>
      <c r="G25" s="45">
        <f t="shared" si="15"/>
        <v>749.56724928460005</v>
      </c>
      <c r="H25" s="45">
        <f t="shared" si="15"/>
        <v>671.0644410000001</v>
      </c>
      <c r="I25" s="45">
        <f t="shared" si="15"/>
        <v>591.58345100000008</v>
      </c>
      <c r="J25" s="45">
        <f t="shared" si="15"/>
        <v>750.45735500000012</v>
      </c>
      <c r="K25" s="45">
        <f t="shared" si="15"/>
        <v>774.65504800000019</v>
      </c>
      <c r="L25" s="45">
        <f t="shared" si="15"/>
        <v>692.70234784799993</v>
      </c>
      <c r="M25" s="45">
        <f>M26+M37</f>
        <v>704.82895214952987</v>
      </c>
      <c r="N25" s="45">
        <f>N26+N37</f>
        <v>688.47529577594992</v>
      </c>
      <c r="O25" s="45">
        <f>O26+O37</f>
        <v>737.97913477175996</v>
      </c>
      <c r="P25" s="45">
        <f>P26+P37</f>
        <v>842.3932447717599</v>
      </c>
      <c r="Q25" s="38">
        <f t="shared" ref="Q25:AP25" si="16">Q26+Q37</f>
        <v>905.9351335501301</v>
      </c>
      <c r="R25" s="38">
        <f t="shared" si="16"/>
        <v>873.81717689228003</v>
      </c>
      <c r="S25" s="45">
        <f t="shared" si="16"/>
        <v>895.40213145977998</v>
      </c>
      <c r="T25" s="106">
        <f t="shared" si="16"/>
        <v>1103.1417114897799</v>
      </c>
      <c r="U25" s="45">
        <f t="shared" si="16"/>
        <v>1133.5481233841201</v>
      </c>
      <c r="V25" s="45">
        <f t="shared" si="16"/>
        <v>1182.2611603583002</v>
      </c>
      <c r="W25" s="45">
        <f t="shared" si="16"/>
        <v>1275.6321288125803</v>
      </c>
      <c r="X25" s="45">
        <f t="shared" si="16"/>
        <v>1209.2052979903099</v>
      </c>
      <c r="Y25" s="45">
        <f t="shared" si="16"/>
        <v>1045.7266781342203</v>
      </c>
      <c r="Z25" s="38">
        <f t="shared" si="16"/>
        <v>1037.5420209971899</v>
      </c>
      <c r="AA25" s="38">
        <f t="shared" si="16"/>
        <v>1189.7998186695302</v>
      </c>
      <c r="AB25" s="38">
        <f t="shared" si="16"/>
        <v>1172.84585808008</v>
      </c>
      <c r="AC25" s="38">
        <f t="shared" si="16"/>
        <v>1191.7564276995399</v>
      </c>
      <c r="AD25" s="38">
        <f t="shared" si="16"/>
        <v>1200.6253336322</v>
      </c>
      <c r="AE25" s="38">
        <f t="shared" si="16"/>
        <v>1226.2552545364902</v>
      </c>
      <c r="AF25" s="38">
        <f t="shared" si="16"/>
        <v>1233.0131535453199</v>
      </c>
      <c r="AG25" s="38">
        <f t="shared" si="16"/>
        <v>1429.2119845805598</v>
      </c>
      <c r="AH25" s="38">
        <f t="shared" si="16"/>
        <v>1514.84924530483</v>
      </c>
      <c r="AI25" s="38">
        <f t="shared" si="16"/>
        <v>1461.8581886694997</v>
      </c>
      <c r="AJ25" s="38">
        <f t="shared" si="16"/>
        <v>1341.4998846388899</v>
      </c>
      <c r="AK25" s="38">
        <f t="shared" si="16"/>
        <v>1507.1925763588399</v>
      </c>
      <c r="AL25" s="38">
        <f t="shared" si="16"/>
        <v>1476.4649657915697</v>
      </c>
      <c r="AM25" s="38">
        <f t="shared" si="16"/>
        <v>1503.4719499847999</v>
      </c>
      <c r="AN25" s="38">
        <f t="shared" si="16"/>
        <v>1758.2091155542701</v>
      </c>
      <c r="AO25" s="107">
        <f t="shared" si="16"/>
        <v>1639.5927136570599</v>
      </c>
      <c r="AP25" s="107">
        <f t="shared" si="16"/>
        <v>1752.4277357915703</v>
      </c>
      <c r="AQ25" s="107">
        <f t="shared" ref="AQ25:AV25" si="17">AQ26+AQ37</f>
        <v>2069.7542829415697</v>
      </c>
      <c r="AR25" s="107">
        <f t="shared" si="17"/>
        <v>2090.2700975431703</v>
      </c>
      <c r="AS25" s="107">
        <f t="shared" si="17"/>
        <v>1998.23620299343</v>
      </c>
      <c r="AT25" s="107">
        <f t="shared" si="17"/>
        <v>2189.5833650397003</v>
      </c>
      <c r="AU25" s="107">
        <f t="shared" si="17"/>
        <v>2249.4969882299692</v>
      </c>
      <c r="AV25" s="107">
        <f t="shared" si="17"/>
        <v>2307.56395822997</v>
      </c>
      <c r="AW25" s="107">
        <f t="shared" ref="AW25:AY25" si="18">AW26+AW37</f>
        <v>2489.8708010311402</v>
      </c>
      <c r="AX25" s="107">
        <f t="shared" si="18"/>
        <v>2603.41974235005</v>
      </c>
      <c r="AY25" s="107">
        <f t="shared" si="18"/>
        <v>2628.4728059029399</v>
      </c>
    </row>
    <row r="26" spans="1:56" ht="16.5">
      <c r="A26" s="11"/>
      <c r="B26" s="62"/>
      <c r="C26" s="12" t="s">
        <v>10</v>
      </c>
      <c r="D26" s="12"/>
      <c r="E26" s="108">
        <f t="shared" ref="E26:L26" si="19">SUM( E27:E36)</f>
        <v>708.38624480199996</v>
      </c>
      <c r="F26" s="108">
        <f t="shared" si="19"/>
        <v>691.94599928460002</v>
      </c>
      <c r="G26" s="108">
        <f t="shared" si="19"/>
        <v>749.0683492846</v>
      </c>
      <c r="H26" s="108">
        <f t="shared" si="19"/>
        <v>670.38274100000012</v>
      </c>
      <c r="I26" s="108">
        <f t="shared" si="19"/>
        <v>590.92105100000003</v>
      </c>
      <c r="J26" s="108">
        <f t="shared" si="19"/>
        <v>749.7776550000001</v>
      </c>
      <c r="K26" s="108">
        <f t="shared" si="19"/>
        <v>773.97774800000025</v>
      </c>
      <c r="L26" s="108">
        <f t="shared" si="19"/>
        <v>691.63844784799994</v>
      </c>
      <c r="M26" s="108">
        <f>SUM( M27:M36)</f>
        <v>703.79935214952991</v>
      </c>
      <c r="N26" s="108">
        <f>SUM( N27:N36)</f>
        <v>688.47529577594992</v>
      </c>
      <c r="O26" s="108">
        <f>SUM( O27:O36)</f>
        <v>737.97913477175996</v>
      </c>
      <c r="P26" s="108">
        <f>SUM( P27:P36)</f>
        <v>842.3932447717599</v>
      </c>
      <c r="Q26" s="109">
        <f t="shared" ref="Q26:AP26" si="20">SUM( Q27:Q36)</f>
        <v>905.9351335501301</v>
      </c>
      <c r="R26" s="109">
        <f t="shared" si="20"/>
        <v>873.81717689228003</v>
      </c>
      <c r="S26" s="108">
        <f t="shared" si="20"/>
        <v>895.40213145977998</v>
      </c>
      <c r="T26" s="108">
        <f t="shared" si="20"/>
        <v>1103.1417114897799</v>
      </c>
      <c r="U26" s="108">
        <f t="shared" si="20"/>
        <v>1126.8586233841202</v>
      </c>
      <c r="V26" s="108">
        <f t="shared" si="20"/>
        <v>1162.6065603583002</v>
      </c>
      <c r="W26" s="108">
        <f t="shared" si="20"/>
        <v>1251.9811288125802</v>
      </c>
      <c r="X26" s="109">
        <f t="shared" si="20"/>
        <v>1186.48749799031</v>
      </c>
      <c r="Y26" s="108">
        <f t="shared" si="20"/>
        <v>1021.7654781342202</v>
      </c>
      <c r="Z26" s="109">
        <f t="shared" si="20"/>
        <v>1011.0452209971899</v>
      </c>
      <c r="AA26" s="109">
        <f t="shared" si="20"/>
        <v>1161.5685186695302</v>
      </c>
      <c r="AB26" s="109">
        <f t="shared" si="20"/>
        <v>1140.9803580800799</v>
      </c>
      <c r="AC26" s="109">
        <f t="shared" si="20"/>
        <v>1156.37122769954</v>
      </c>
      <c r="AD26" s="109">
        <f t="shared" si="20"/>
        <v>1177.0195336321999</v>
      </c>
      <c r="AE26" s="109">
        <f t="shared" si="20"/>
        <v>1216.9349545364901</v>
      </c>
      <c r="AF26" s="109">
        <f t="shared" si="20"/>
        <v>1207.77845354532</v>
      </c>
      <c r="AG26" s="109">
        <f t="shared" si="20"/>
        <v>1395.2896845805599</v>
      </c>
      <c r="AH26" s="109">
        <f t="shared" si="20"/>
        <v>1474.08204530483</v>
      </c>
      <c r="AI26" s="109">
        <f t="shared" si="20"/>
        <v>1418.8318886694997</v>
      </c>
      <c r="AJ26" s="109">
        <f t="shared" si="20"/>
        <v>1295.5357846388899</v>
      </c>
      <c r="AK26" s="109">
        <f t="shared" si="20"/>
        <v>1460.77017635884</v>
      </c>
      <c r="AL26" s="109">
        <f t="shared" si="20"/>
        <v>1427.6510657915696</v>
      </c>
      <c r="AM26" s="109">
        <f t="shared" si="20"/>
        <v>1453.0307499848</v>
      </c>
      <c r="AN26" s="109">
        <f t="shared" si="20"/>
        <v>1706.7875155542702</v>
      </c>
      <c r="AO26" s="20">
        <f t="shared" si="20"/>
        <v>1583.37421365706</v>
      </c>
      <c r="AP26" s="20">
        <f t="shared" si="20"/>
        <v>1691.6805357915703</v>
      </c>
      <c r="AQ26" s="109">
        <f t="shared" ref="AQ26:AV26" si="21">SUM( AQ27:AQ36)</f>
        <v>2006.9023829415698</v>
      </c>
      <c r="AR26" s="109">
        <f t="shared" si="21"/>
        <v>2024.3346975431703</v>
      </c>
      <c r="AS26" s="109">
        <f t="shared" si="21"/>
        <v>1929.89560299343</v>
      </c>
      <c r="AT26" s="109">
        <f t="shared" si="21"/>
        <v>2121.8538650397004</v>
      </c>
      <c r="AU26" s="109">
        <f t="shared" si="21"/>
        <v>2178.2557882299693</v>
      </c>
      <c r="AV26" s="109">
        <f t="shared" si="21"/>
        <v>2233.72985822997</v>
      </c>
      <c r="AW26" s="109">
        <f t="shared" ref="AW26:AY26" si="22">SUM( AW27:AW36)</f>
        <v>2413.4565010311403</v>
      </c>
      <c r="AX26" s="109">
        <f t="shared" si="22"/>
        <v>2526.3796423500498</v>
      </c>
      <c r="AY26" s="109">
        <f t="shared" si="22"/>
        <v>2548.6140059029399</v>
      </c>
    </row>
    <row r="27" spans="1:56" ht="16.5">
      <c r="A27" s="2"/>
      <c r="B27" s="2"/>
      <c r="C27" s="2"/>
      <c r="D27" s="2" t="s">
        <v>68</v>
      </c>
      <c r="E27" s="3">
        <v>325.44</v>
      </c>
      <c r="F27" s="3">
        <v>324.36</v>
      </c>
      <c r="G27" s="3">
        <v>328.46</v>
      </c>
      <c r="H27" s="2">
        <v>314.16000000000003</v>
      </c>
      <c r="I27" s="42">
        <v>178.02</v>
      </c>
      <c r="J27" s="42">
        <v>287.54000000000002</v>
      </c>
      <c r="K27" s="42">
        <v>285.19</v>
      </c>
      <c r="L27" s="42">
        <v>280.35000000000002</v>
      </c>
      <c r="M27" s="42">
        <v>208.73</v>
      </c>
      <c r="N27" s="42">
        <v>206</v>
      </c>
      <c r="O27" s="42">
        <v>248.27</v>
      </c>
      <c r="P27" s="42">
        <v>344.94</v>
      </c>
      <c r="Q27" s="42">
        <v>391.88</v>
      </c>
      <c r="R27" s="42">
        <v>403.36</v>
      </c>
      <c r="S27" s="42">
        <v>417.73</v>
      </c>
      <c r="T27" s="42">
        <v>475.9</v>
      </c>
      <c r="U27" s="42">
        <v>499.85</v>
      </c>
      <c r="V27" s="42">
        <v>492</v>
      </c>
      <c r="W27" s="42">
        <v>470.47</v>
      </c>
      <c r="X27" s="42">
        <v>447.4</v>
      </c>
      <c r="Y27" s="42">
        <v>385.48</v>
      </c>
      <c r="Z27" s="42">
        <v>385.87</v>
      </c>
      <c r="AA27" s="42">
        <v>412.09</v>
      </c>
      <c r="AB27" s="42">
        <v>398.55</v>
      </c>
      <c r="AC27" s="42">
        <v>403.18</v>
      </c>
      <c r="AD27" s="42">
        <v>397.86</v>
      </c>
      <c r="AE27" s="42">
        <v>400.1</v>
      </c>
      <c r="AF27" s="42">
        <v>412.64</v>
      </c>
      <c r="AG27" s="42">
        <v>398.2</v>
      </c>
      <c r="AH27" s="42">
        <v>395.56</v>
      </c>
      <c r="AI27" s="42">
        <v>399.54</v>
      </c>
      <c r="AJ27" s="42">
        <v>393.78</v>
      </c>
      <c r="AK27" s="42">
        <v>384.72</v>
      </c>
      <c r="AL27" s="42">
        <v>388.4</v>
      </c>
      <c r="AM27" s="42">
        <v>389.35</v>
      </c>
      <c r="AN27" s="42">
        <v>418.57</v>
      </c>
      <c r="AO27" s="44">
        <v>439.37</v>
      </c>
      <c r="AP27" s="44">
        <v>437.91</v>
      </c>
      <c r="AQ27" s="44">
        <v>440.08</v>
      </c>
      <c r="AR27" s="42">
        <v>456.9</v>
      </c>
      <c r="AS27" s="42">
        <v>481.42</v>
      </c>
      <c r="AT27" s="42">
        <v>479.37</v>
      </c>
      <c r="AU27" s="42">
        <v>492.32</v>
      </c>
      <c r="AV27" s="42">
        <v>520.05999999999995</v>
      </c>
      <c r="AW27" s="42">
        <v>539.59</v>
      </c>
      <c r="AX27" s="42">
        <v>504.09</v>
      </c>
      <c r="AY27" s="42">
        <v>509.63</v>
      </c>
    </row>
    <row r="28" spans="1:56" ht="16.5">
      <c r="A28" s="2"/>
      <c r="B28" s="2"/>
      <c r="C28" s="2"/>
      <c r="D28" s="2" t="s">
        <v>69</v>
      </c>
      <c r="E28" s="3">
        <v>93.85</v>
      </c>
      <c r="F28" s="3">
        <v>84.25</v>
      </c>
      <c r="G28" s="3">
        <v>137.06</v>
      </c>
      <c r="H28" s="42">
        <v>60.29</v>
      </c>
      <c r="I28" s="42">
        <v>123.21</v>
      </c>
      <c r="J28" s="42">
        <v>150.41999999999999</v>
      </c>
      <c r="K28" s="42">
        <v>168.27</v>
      </c>
      <c r="L28" s="42">
        <v>85.33</v>
      </c>
      <c r="M28" s="42">
        <v>156.32</v>
      </c>
      <c r="N28" s="42">
        <v>141.4</v>
      </c>
      <c r="O28" s="42">
        <v>134</v>
      </c>
      <c r="P28" s="42">
        <v>108.5</v>
      </c>
      <c r="Q28" s="42">
        <v>119.6</v>
      </c>
      <c r="R28" s="42">
        <v>111.3</v>
      </c>
      <c r="S28" s="42">
        <v>106.9</v>
      </c>
      <c r="T28" s="42">
        <v>167.4</v>
      </c>
      <c r="U28" s="42">
        <v>160.9</v>
      </c>
      <c r="V28" s="42">
        <v>181.84</v>
      </c>
      <c r="W28" s="42">
        <v>185</v>
      </c>
      <c r="X28" s="42">
        <v>141.9</v>
      </c>
      <c r="Y28" s="42">
        <v>77.099999999999994</v>
      </c>
      <c r="Z28" s="42">
        <v>66.989999999999995</v>
      </c>
      <c r="AA28" s="42">
        <v>129.69999999999999</v>
      </c>
      <c r="AB28" s="42">
        <v>143.75</v>
      </c>
      <c r="AC28" s="42">
        <v>126.7</v>
      </c>
      <c r="AD28" s="42">
        <v>140.58000000000001</v>
      </c>
      <c r="AE28" s="42">
        <v>193.27</v>
      </c>
      <c r="AF28" s="42">
        <v>110.14</v>
      </c>
      <c r="AG28" s="42">
        <v>186.75</v>
      </c>
      <c r="AH28" s="42">
        <v>310.3</v>
      </c>
      <c r="AI28" s="42">
        <v>294.01</v>
      </c>
      <c r="AJ28" s="42">
        <v>60.1</v>
      </c>
      <c r="AK28" s="42">
        <v>293.87</v>
      </c>
      <c r="AL28" s="42">
        <v>259.70999999999998</v>
      </c>
      <c r="AM28" s="42">
        <v>214.29</v>
      </c>
      <c r="AN28" s="42">
        <v>340.86</v>
      </c>
      <c r="AO28" s="44">
        <v>193.62</v>
      </c>
      <c r="AP28" s="44">
        <v>339.45</v>
      </c>
      <c r="AQ28" s="44">
        <v>476.83</v>
      </c>
      <c r="AR28" s="42">
        <v>412.29</v>
      </c>
      <c r="AS28" s="42">
        <v>333.56</v>
      </c>
      <c r="AT28" s="42">
        <v>390.09</v>
      </c>
      <c r="AU28" s="42">
        <v>476.68</v>
      </c>
      <c r="AV28" s="42">
        <v>415.2</v>
      </c>
      <c r="AW28" s="42">
        <v>478.57</v>
      </c>
      <c r="AX28" s="42">
        <v>528.03</v>
      </c>
      <c r="AY28" s="42">
        <v>544.14</v>
      </c>
    </row>
    <row r="29" spans="1:56" ht="16.5">
      <c r="A29" s="2"/>
      <c r="B29" s="2"/>
      <c r="C29" s="2"/>
      <c r="D29" s="41" t="s">
        <v>70</v>
      </c>
      <c r="E29" s="19">
        <f>115.71136+5.52622+1.22675</f>
        <v>122.46432999999999</v>
      </c>
      <c r="F29" s="19">
        <f>110.51087+3.80589+1.32661</f>
        <v>115.64337</v>
      </c>
      <c r="G29" s="19">
        <f>115.37429+3.58595+1.5762</f>
        <v>120.53644</v>
      </c>
      <c r="H29" s="43">
        <f>122.4146+4.8325+2.71784</f>
        <v>129.96493999999998</v>
      </c>
      <c r="I29" s="42">
        <f>5.25842+3.47222+114.33579</f>
        <v>123.06643</v>
      </c>
      <c r="J29" s="42">
        <f>5.91696+2.95519+125.17311</f>
        <v>134.04525999999998</v>
      </c>
      <c r="K29" s="42">
        <f>6.10976+5.19237+127.92923</f>
        <v>139.23136</v>
      </c>
      <c r="L29" s="42">
        <f>8.4886+5.46077+141.56635</f>
        <v>155.51571999999999</v>
      </c>
      <c r="M29" s="42">
        <f>136.61578+8.47439+7.07433</f>
        <v>152.1645</v>
      </c>
      <c r="N29" s="42">
        <f>144.03188+8.92088+5.68963</f>
        <v>158.64239000000001</v>
      </c>
      <c r="O29" s="42">
        <f>145.68509+7.8584+12.88589</f>
        <v>166.42937999999998</v>
      </c>
      <c r="P29" s="42">
        <f>161.31699+8.25367+10.94266</f>
        <v>180.51331999999999</v>
      </c>
      <c r="Q29" s="42">
        <f>9.93697+12.00735+166.78189</f>
        <v>188.72621000000001</v>
      </c>
      <c r="R29" s="42">
        <f>157.60657+12.7938+15.53652</f>
        <v>185.93689000000001</v>
      </c>
      <c r="S29" s="42">
        <f>169.09858+11.05323+17.36004</f>
        <v>197.51185000000001</v>
      </c>
      <c r="T29" s="42">
        <f>181.0893+11.03446+14.63529</f>
        <v>206.75905</v>
      </c>
      <c r="U29" s="42">
        <f>183.85679+11.41892+12.36235</f>
        <v>207.63806</v>
      </c>
      <c r="V29" s="42">
        <f>181.78478+19.388+28.801</f>
        <v>229.97378</v>
      </c>
      <c r="W29" s="42">
        <f>182.61387+21.95+26.307</f>
        <v>230.87086999999997</v>
      </c>
      <c r="X29" s="42">
        <f>212.28583+24.003+26.352</f>
        <v>262.64082999999999</v>
      </c>
      <c r="Y29" s="42">
        <f>205.07802+26.302+25.976</f>
        <v>257.35602</v>
      </c>
      <c r="Z29" s="42">
        <f>225.3433+23.242+27.499</f>
        <v>276.08429999999998</v>
      </c>
      <c r="AA29" s="42">
        <f>268.97692+18.559+39.296</f>
        <v>326.83192000000003</v>
      </c>
      <c r="AB29" s="42">
        <f>243.34282+32.388+16.09</f>
        <v>291.82081999999997</v>
      </c>
      <c r="AC29" s="42">
        <f>233.10167+26.93+23.118</f>
        <v>283.14967000000001</v>
      </c>
      <c r="AD29" s="42">
        <f>23.65+32.819+228.37267</f>
        <v>284.84167000000002</v>
      </c>
      <c r="AE29" s="42">
        <f>246.1887+20.35+19.115</f>
        <v>285.65370000000001</v>
      </c>
      <c r="AF29" s="42">
        <f>277.52632+39.311+16.756</f>
        <v>333.59331999999995</v>
      </c>
      <c r="AG29" s="42">
        <f>317.76466+28.147+19.647</f>
        <v>365.55865999999997</v>
      </c>
      <c r="AH29" s="42">
        <f>314.17496+34.613+30.752</f>
        <v>379.53996000000001</v>
      </c>
      <c r="AI29" s="42">
        <f>303.45295+32.662+46.222</f>
        <v>382.33694999999994</v>
      </c>
      <c r="AJ29" s="42">
        <f>340.65304+39.377+45.347</f>
        <v>425.37703999999997</v>
      </c>
      <c r="AK29" s="42">
        <f>313.74295+27.943+38.873</f>
        <v>380.55894999999998</v>
      </c>
      <c r="AL29" s="42">
        <f>301.3132+33.436+33.513</f>
        <v>368.26219999999995</v>
      </c>
      <c r="AM29" s="42">
        <f>328.88667+29.318+31.599</f>
        <v>389.80366999999995</v>
      </c>
      <c r="AN29" s="42">
        <f>359.67378+61.263+40.355</f>
        <v>461.29178000000002</v>
      </c>
      <c r="AO29" s="44">
        <f>400.65855+21.844+49.016</f>
        <v>471.51855</v>
      </c>
      <c r="AP29" s="44">
        <f>363.2009+20.938+60.007</f>
        <v>444.14589999999998</v>
      </c>
      <c r="AQ29" s="44">
        <f>417.77742+19.44+106.102</f>
        <v>543.31942000000004</v>
      </c>
      <c r="AR29" s="42">
        <f>471.99207+37.312+64.123</f>
        <v>573.42707000000007</v>
      </c>
      <c r="AS29" s="42">
        <f>489.19949+22.05+64.905</f>
        <v>576.15449000000001</v>
      </c>
      <c r="AT29" s="42">
        <f>552.32297+31.572+77.366</f>
        <v>661.26097000000004</v>
      </c>
      <c r="AU29" s="42">
        <f>519.45031+34.79+94.351</f>
        <v>648.59130999999991</v>
      </c>
      <c r="AV29" s="42">
        <f>582.61108+70.075+73.76</f>
        <v>726.44608000000005</v>
      </c>
      <c r="AW29" s="42">
        <f>620.55985+40.678+93.331</f>
        <v>754.56885</v>
      </c>
      <c r="AX29" s="42">
        <f>641.46559+58.41+82.712</f>
        <v>782.58758999999998</v>
      </c>
      <c r="AY29" s="42">
        <f>657.787+46.336+63.482</f>
        <v>767.60500000000002</v>
      </c>
    </row>
    <row r="30" spans="1:56" ht="16.5">
      <c r="A30" s="2"/>
      <c r="B30" s="2"/>
      <c r="C30" s="2"/>
      <c r="D30" s="41" t="s">
        <v>71</v>
      </c>
      <c r="E30" s="3">
        <v>0</v>
      </c>
      <c r="F30" s="3">
        <v>0</v>
      </c>
      <c r="G30" s="3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4">
        <v>0</v>
      </c>
      <c r="AP30" s="44">
        <v>0</v>
      </c>
      <c r="AQ30" s="44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</row>
    <row r="31" spans="1:56" ht="16.5">
      <c r="A31" s="2"/>
      <c r="B31" s="2"/>
      <c r="C31" s="2"/>
      <c r="D31" s="41" t="s">
        <v>72</v>
      </c>
      <c r="E31" s="3">
        <v>12.636100000000001</v>
      </c>
      <c r="F31" s="3">
        <v>13.141299999999999</v>
      </c>
      <c r="G31" s="3">
        <v>11.863</v>
      </c>
      <c r="H31" s="42">
        <v>14.1671</v>
      </c>
      <c r="I31" s="42">
        <v>13.726699999999999</v>
      </c>
      <c r="J31" s="42">
        <v>14.8973</v>
      </c>
      <c r="K31" s="42">
        <v>18.012499999999999</v>
      </c>
      <c r="L31" s="42">
        <v>16.136800000000001</v>
      </c>
      <c r="M31" s="42">
        <v>19.5063</v>
      </c>
      <c r="N31" s="42">
        <v>19.591100000000001</v>
      </c>
      <c r="O31" s="42">
        <v>19.073799999999999</v>
      </c>
      <c r="P31" s="42">
        <v>19.7057</v>
      </c>
      <c r="Q31" s="42">
        <v>59.148000000000003</v>
      </c>
      <c r="R31" s="42">
        <v>23.7088</v>
      </c>
      <c r="S31" s="42">
        <v>23.187000000000001</v>
      </c>
      <c r="T31" s="42">
        <v>79.499399999999994</v>
      </c>
      <c r="U31" s="42">
        <v>100.5055</v>
      </c>
      <c r="V31" s="42">
        <v>119.0438</v>
      </c>
      <c r="W31" s="42">
        <v>224.02330000000001</v>
      </c>
      <c r="X31" s="42">
        <v>168.29929999999999</v>
      </c>
      <c r="Y31" s="42">
        <v>127.31740000000001</v>
      </c>
      <c r="Z31" s="42">
        <v>144.3502</v>
      </c>
      <c r="AA31" s="42">
        <v>151.37289999999999</v>
      </c>
      <c r="AB31" s="42">
        <v>126.6688</v>
      </c>
      <c r="AC31" s="42">
        <v>149.51310000000001</v>
      </c>
      <c r="AD31" s="42">
        <v>156.95259999999999</v>
      </c>
      <c r="AE31" s="42">
        <v>148.99590000000001</v>
      </c>
      <c r="AF31" s="42">
        <v>163.02869999999999</v>
      </c>
      <c r="AG31" s="42">
        <v>226.98419999999999</v>
      </c>
      <c r="AH31" s="42">
        <v>165.6551</v>
      </c>
      <c r="AI31" s="42">
        <v>190.70959999999999</v>
      </c>
      <c r="AJ31" s="42">
        <v>192.239</v>
      </c>
      <c r="AK31" s="42">
        <v>184.69970000000001</v>
      </c>
      <c r="AL31" s="42">
        <v>189.78190000000001</v>
      </c>
      <c r="AM31" s="42">
        <v>238.95650000000001</v>
      </c>
      <c r="AN31" s="42">
        <v>247.47829999999999</v>
      </c>
      <c r="AO31" s="44">
        <v>247.45654999999999</v>
      </c>
      <c r="AP31" s="44">
        <v>247.92760000000001</v>
      </c>
      <c r="AQ31" s="44">
        <v>327.8417</v>
      </c>
      <c r="AR31" s="42">
        <v>366.27929999999998</v>
      </c>
      <c r="AS31" s="42">
        <v>329.94420000000002</v>
      </c>
      <c r="AT31" s="42">
        <v>374.49560000000002</v>
      </c>
      <c r="AU31" s="42">
        <v>346.75209999999998</v>
      </c>
      <c r="AV31" s="42">
        <v>350.61810000000003</v>
      </c>
      <c r="AW31" s="42">
        <v>412.79169999999999</v>
      </c>
      <c r="AX31" s="42">
        <v>485.15199999999999</v>
      </c>
      <c r="AY31" s="42">
        <v>497.90410000000003</v>
      </c>
    </row>
    <row r="32" spans="1:56" ht="16.5">
      <c r="A32" s="2"/>
      <c r="B32" s="2"/>
      <c r="C32" s="2"/>
      <c r="D32" s="41" t="s">
        <v>73</v>
      </c>
      <c r="E32" s="3">
        <v>11.666399999999999</v>
      </c>
      <c r="F32" s="3">
        <v>4.7164999999999999</v>
      </c>
      <c r="G32" s="3">
        <v>5.48</v>
      </c>
      <c r="H32" s="42">
        <v>5.2510000000000003</v>
      </c>
      <c r="I32" s="42">
        <v>7.3236999999999997</v>
      </c>
      <c r="J32" s="42">
        <v>5.6860999999999997</v>
      </c>
      <c r="K32" s="42">
        <v>14.6014</v>
      </c>
      <c r="L32" s="42">
        <v>1.4555</v>
      </c>
      <c r="M32" s="42">
        <v>1.6910000000000001</v>
      </c>
      <c r="N32" s="42">
        <v>1.2324999999999999</v>
      </c>
      <c r="O32" s="42">
        <v>0.72299999999999998</v>
      </c>
      <c r="P32" s="42">
        <v>1.3624000000000001</v>
      </c>
      <c r="Q32" s="42">
        <v>0.82969999999999999</v>
      </c>
      <c r="R32" s="42">
        <v>0.82199999999999995</v>
      </c>
      <c r="S32" s="42">
        <v>2.4510000000000001</v>
      </c>
      <c r="T32" s="42">
        <v>22.374500000000001</v>
      </c>
      <c r="U32" s="42">
        <v>15.726000000000001</v>
      </c>
      <c r="V32" s="42">
        <v>14.674899999999999</v>
      </c>
      <c r="W32" s="42">
        <v>7.5042</v>
      </c>
      <c r="X32" s="42">
        <v>1.9616</v>
      </c>
      <c r="Y32" s="42">
        <v>12.718999999999999</v>
      </c>
      <c r="Z32" s="42">
        <v>0.6714</v>
      </c>
      <c r="AA32" s="42">
        <v>0.56820000000000004</v>
      </c>
      <c r="AB32" s="42">
        <v>27.0169</v>
      </c>
      <c r="AC32" s="42">
        <v>30.152200000000001</v>
      </c>
      <c r="AD32" s="42">
        <v>30.6645</v>
      </c>
      <c r="AE32" s="42">
        <v>26.7758</v>
      </c>
      <c r="AF32" s="42">
        <v>19.933399999999999</v>
      </c>
      <c r="AG32" s="42">
        <v>17.068000000000001</v>
      </c>
      <c r="AH32" s="42">
        <v>11.1455</v>
      </c>
      <c r="AI32" s="42">
        <v>0.13980000000000001</v>
      </c>
      <c r="AJ32" s="42">
        <v>0.14419999999999999</v>
      </c>
      <c r="AK32" s="42">
        <v>0.14419999999999999</v>
      </c>
      <c r="AL32" s="42">
        <v>0.14419999999999999</v>
      </c>
      <c r="AM32" s="42">
        <v>0.14560000000000001</v>
      </c>
      <c r="AN32" s="42">
        <v>20.562200000000001</v>
      </c>
      <c r="AO32" s="44">
        <v>7.4908000000000001</v>
      </c>
      <c r="AP32" s="44">
        <v>0.1404</v>
      </c>
      <c r="AQ32" s="44">
        <v>0.13969999999999999</v>
      </c>
      <c r="AR32" s="42">
        <v>0.13669999999999999</v>
      </c>
      <c r="AS32" s="42">
        <v>0.1356</v>
      </c>
      <c r="AT32" s="42">
        <v>0.13489999999999999</v>
      </c>
      <c r="AU32" s="42">
        <v>0.13339999999999999</v>
      </c>
      <c r="AV32" s="42">
        <v>0.1265</v>
      </c>
      <c r="AW32" s="42">
        <v>0.1268</v>
      </c>
      <c r="AX32" s="42">
        <v>0.1275</v>
      </c>
      <c r="AY32" s="42">
        <v>0.13009999999999999</v>
      </c>
    </row>
    <row r="33" spans="1:51" ht="16.5">
      <c r="A33" s="2"/>
      <c r="B33" s="2"/>
      <c r="C33" s="2"/>
      <c r="D33" s="41" t="s">
        <v>74</v>
      </c>
      <c r="E33" s="3">
        <v>0</v>
      </c>
      <c r="F33" s="3">
        <v>0</v>
      </c>
      <c r="G33" s="3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4">
        <v>0</v>
      </c>
      <c r="AP33" s="44">
        <v>0</v>
      </c>
      <c r="AQ33" s="44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</row>
    <row r="34" spans="1:51" ht="16.5">
      <c r="A34" s="41"/>
      <c r="B34" s="41"/>
      <c r="C34" s="41"/>
      <c r="D34" s="41" t="s">
        <v>75</v>
      </c>
      <c r="E34" s="19">
        <f>15.77+2.84718</f>
        <v>18.617179999999998</v>
      </c>
      <c r="F34" s="19">
        <f>21.11+2.84269</f>
        <v>23.95269</v>
      </c>
      <c r="G34" s="19">
        <f>21.7+2.37815</f>
        <v>24.078150000000001</v>
      </c>
      <c r="H34" s="43">
        <f>23.94+2.66314</f>
        <v>26.60314</v>
      </c>
      <c r="I34" s="43">
        <f>2.61237+21.72528</f>
        <v>24.33765</v>
      </c>
      <c r="J34" s="43">
        <f>2.25506+33.31068</f>
        <v>35.565739999999998</v>
      </c>
      <c r="K34" s="43">
        <f>1.72823+23.91589</f>
        <v>25.644120000000001</v>
      </c>
      <c r="L34" s="43">
        <f>1.75637+35.30821</f>
        <v>37.064579999999999</v>
      </c>
      <c r="M34" s="43">
        <f>3.05441+45.1037</f>
        <v>48.158110000000001</v>
      </c>
      <c r="N34" s="43">
        <f>43.43944+4.88449</f>
        <v>48.323929999999997</v>
      </c>
      <c r="O34" s="43">
        <f>44.57454+4.82702</f>
        <v>49.401559999999996</v>
      </c>
      <c r="P34" s="43">
        <f>50.47561+5.50583</f>
        <v>55.981440000000006</v>
      </c>
      <c r="Q34" s="43">
        <f>5.37082+53.34718</f>
        <v>58.718000000000004</v>
      </c>
      <c r="R34" s="43">
        <f>33.45737+7.47887</f>
        <v>40.936239999999998</v>
      </c>
      <c r="S34" s="43">
        <f>37.49996+7.47015</f>
        <v>44.970110000000005</v>
      </c>
      <c r="T34" s="43">
        <f>39.98549+7.4564</f>
        <v>47.441890000000001</v>
      </c>
      <c r="U34" s="43">
        <f>32.66308+4.76603</f>
        <v>37.429110000000001</v>
      </c>
      <c r="V34" s="43">
        <f>14.55013+5.558</f>
        <v>20.108129999999999</v>
      </c>
      <c r="W34" s="43">
        <f>14.56609+11.458</f>
        <v>26.024090000000001</v>
      </c>
      <c r="X34" s="43">
        <f>21.6932+29.086</f>
        <v>50.779200000000003</v>
      </c>
      <c r="Y34" s="43">
        <f>17.60332+28.978</f>
        <v>46.581320000000005</v>
      </c>
      <c r="Z34" s="43">
        <f>7.43879+12.906</f>
        <v>20.34479</v>
      </c>
      <c r="AA34" s="43">
        <f>7.43253+15.162</f>
        <v>22.594529999999999</v>
      </c>
      <c r="AB34" s="43">
        <f>14.78916+18.582</f>
        <v>33.371160000000003</v>
      </c>
      <c r="AC34" s="110">
        <f>28.53115+12.212</f>
        <v>40.74315</v>
      </c>
      <c r="AD34" s="43">
        <f>11.669+28.32157</f>
        <v>39.990570000000005</v>
      </c>
      <c r="AE34" s="43">
        <f>27.02018+7.371</f>
        <v>34.391179999999999</v>
      </c>
      <c r="AF34" s="43">
        <f>29.82652+10.28</f>
        <v>40.106519999999996</v>
      </c>
      <c r="AG34" s="110">
        <f>55.63772+16.938</f>
        <v>72.575720000000004</v>
      </c>
      <c r="AH34" s="43">
        <f>55.68492+28.01</f>
        <v>83.694919999999996</v>
      </c>
      <c r="AI34" s="43">
        <v>27.81</v>
      </c>
      <c r="AJ34" s="43">
        <f>59.69429+40.682</f>
        <v>100.37629000000001</v>
      </c>
      <c r="AK34" s="110">
        <f>33.003+59.4117</f>
        <v>92.414700000000011</v>
      </c>
      <c r="AL34" s="43">
        <f>60.96267+35.935</f>
        <v>96.897670000000005</v>
      </c>
      <c r="AM34" s="43">
        <f>61.03481+35.023</f>
        <v>96.057810000000003</v>
      </c>
      <c r="AN34" s="43">
        <f>60.29691+32.76</f>
        <v>93.056909999999988</v>
      </c>
      <c r="AO34" s="111">
        <f>37.433+61.6975</f>
        <v>99.130499999999998</v>
      </c>
      <c r="AP34" s="112">
        <f>38.398+60.52254</f>
        <v>98.920540000000003</v>
      </c>
      <c r="AQ34" s="111">
        <f>35.142+59.57886</f>
        <v>94.720860000000002</v>
      </c>
      <c r="AR34" s="43">
        <f>59.0672+34.533</f>
        <v>93.600200000000001</v>
      </c>
      <c r="AS34" s="110">
        <f>58.64852+37.265</f>
        <v>95.913520000000005</v>
      </c>
      <c r="AT34" s="43">
        <f>61.24629+42.723</f>
        <v>103.96929</v>
      </c>
      <c r="AU34" s="43">
        <f>61.40951+40.368</f>
        <v>101.77751000000001</v>
      </c>
      <c r="AV34" s="43">
        <f>64.88511+44.31</f>
        <v>109.19511</v>
      </c>
      <c r="AW34" s="43">
        <f>66.8743+48.566</f>
        <v>115.44030000000001</v>
      </c>
      <c r="AX34" s="43">
        <f>64.59318+49.607</f>
        <v>114.20018</v>
      </c>
      <c r="AY34" s="43">
        <f>65.13946+51.295</f>
        <v>116.43446</v>
      </c>
    </row>
    <row r="35" spans="1:51" ht="16.5">
      <c r="A35" s="2"/>
      <c r="B35" s="2"/>
      <c r="C35" s="2"/>
      <c r="D35" s="41" t="s">
        <v>76</v>
      </c>
      <c r="E35" s="3">
        <v>89.309600000000003</v>
      </c>
      <c r="F35" s="3">
        <v>88.852400000000003</v>
      </c>
      <c r="G35" s="3">
        <v>82.817700000000002</v>
      </c>
      <c r="H35" s="42">
        <v>81.011200000000002</v>
      </c>
      <c r="I35" s="42">
        <v>80.9679</v>
      </c>
      <c r="J35" s="42">
        <v>80.276499999999999</v>
      </c>
      <c r="K35" s="42">
        <v>80.276499999999999</v>
      </c>
      <c r="L35" s="42">
        <v>73.364099999999993</v>
      </c>
      <c r="M35" s="42">
        <v>73.323599999999999</v>
      </c>
      <c r="N35" s="42">
        <v>73.282700000000006</v>
      </c>
      <c r="O35" s="42">
        <v>73.166399999999996</v>
      </c>
      <c r="P35" s="42">
        <v>82.252499999999998</v>
      </c>
      <c r="Q35" s="42">
        <v>82.084999999999994</v>
      </c>
      <c r="R35" s="42">
        <v>75.675399999999996</v>
      </c>
      <c r="S35" s="42">
        <v>69.767300000000006</v>
      </c>
      <c r="T35" s="42">
        <v>69.774600000000007</v>
      </c>
      <c r="U35" s="42">
        <v>69.763900000000007</v>
      </c>
      <c r="V35" s="42">
        <v>69.634500000000003</v>
      </c>
      <c r="W35" s="42">
        <v>70.041200000000003</v>
      </c>
      <c r="X35" s="42">
        <v>72.607699999999994</v>
      </c>
      <c r="Y35" s="42">
        <v>72.6023</v>
      </c>
      <c r="Z35" s="42">
        <v>72.798100000000005</v>
      </c>
      <c r="AA35" s="42">
        <v>72.791600000000003</v>
      </c>
      <c r="AB35" s="42">
        <v>72.745999999999995</v>
      </c>
      <c r="AC35" s="42">
        <v>72.744299999999996</v>
      </c>
      <c r="AD35" s="42">
        <v>72.813500000000005</v>
      </c>
      <c r="AE35" s="42">
        <v>72.719899999999996</v>
      </c>
      <c r="AF35" s="42">
        <v>72.719300000000004</v>
      </c>
      <c r="AG35" s="42">
        <v>72.718599999999995</v>
      </c>
      <c r="AH35" s="42">
        <v>72.716999999999999</v>
      </c>
      <c r="AI35" s="42">
        <v>68.096000000000004</v>
      </c>
      <c r="AJ35" s="42">
        <v>66.734300000000005</v>
      </c>
      <c r="AK35" s="42">
        <v>66.733699999999999</v>
      </c>
      <c r="AL35" s="42">
        <v>66.733199999999997</v>
      </c>
      <c r="AM35" s="42">
        <v>66.743700000000004</v>
      </c>
      <c r="AN35" s="42">
        <v>66.744399999999999</v>
      </c>
      <c r="AO35" s="44">
        <v>66.742900000000006</v>
      </c>
      <c r="AP35" s="44">
        <v>65.464200000000005</v>
      </c>
      <c r="AQ35" s="44">
        <v>65.457700000000003</v>
      </c>
      <c r="AR35" s="42">
        <v>63.679000000000002</v>
      </c>
      <c r="AS35" s="42">
        <v>56.0383</v>
      </c>
      <c r="AT35" s="42">
        <v>56.037399999999998</v>
      </c>
      <c r="AU35" s="42">
        <v>56.0366</v>
      </c>
      <c r="AV35" s="42">
        <v>56.119199999999999</v>
      </c>
      <c r="AW35" s="42">
        <v>56.103400000000001</v>
      </c>
      <c r="AX35" s="42">
        <v>56.039499999999997</v>
      </c>
      <c r="AY35" s="42">
        <v>56.034799999999997</v>
      </c>
    </row>
    <row r="36" spans="1:51" ht="16.5">
      <c r="A36" s="2"/>
      <c r="B36" s="2"/>
      <c r="C36" s="2"/>
      <c r="D36" s="41" t="s">
        <v>77</v>
      </c>
      <c r="E36" s="3">
        <f>29.82696+4.575674802</f>
        <v>34.402634802000001</v>
      </c>
      <c r="F36" s="3">
        <f>31.16869+5.8610492846</f>
        <v>37.029739284599998</v>
      </c>
      <c r="G36" s="3">
        <f>32.91201+5.8610492846</f>
        <v>38.773059284600002</v>
      </c>
      <c r="H36" s="42">
        <f>34.05323+4.882131</f>
        <v>38.935361</v>
      </c>
      <c r="I36" s="42">
        <f>35.38654+4.882131</f>
        <v>40.268670999999998</v>
      </c>
      <c r="J36" s="42">
        <f>36.2806+5.066155</f>
        <v>41.346755000000002</v>
      </c>
      <c r="K36" s="42">
        <f>37.47759+5.274278</f>
        <v>42.751868000000002</v>
      </c>
      <c r="L36" s="42">
        <f>36.69426+5.727487848</f>
        <v>42.421747848000003</v>
      </c>
      <c r="M36" s="42">
        <f>37.9262+5.97964214953</f>
        <v>43.905842149530002</v>
      </c>
      <c r="N36" s="42">
        <f>34.32647594508+5.67619983087</f>
        <v>40.002675775949996</v>
      </c>
      <c r="O36" s="42">
        <f>40.01445+6.90054477176</f>
        <v>46.914994771759993</v>
      </c>
      <c r="P36" s="42">
        <f>42.23734+6.90054477176</f>
        <v>49.13788477176</v>
      </c>
      <c r="Q36" s="42">
        <v>4.9482235501299998</v>
      </c>
      <c r="R36" s="42">
        <f>25.57109+6.50675689228</f>
        <v>32.07784689228</v>
      </c>
      <c r="S36" s="42">
        <f>26.61152+6.27335145978</f>
        <v>32.884871459780001</v>
      </c>
      <c r="T36" s="42">
        <f>27.71892+6.27335148978</f>
        <v>33.992271489780002</v>
      </c>
      <c r="U36" s="42">
        <f>28.62243+6.42362338412</f>
        <v>35.04605338412</v>
      </c>
      <c r="V36" s="42">
        <f>28.91147+6.4199803583</f>
        <v>35.331450358300003</v>
      </c>
      <c r="W36" s="42">
        <f>30.66972+7.37774881258</f>
        <v>38.04746881258</v>
      </c>
      <c r="X36" s="42">
        <f>32.60581038378+8.29305760653</f>
        <v>40.898867990310002</v>
      </c>
      <c r="Y36" s="42">
        <f>33.75704+8.85239813422</f>
        <v>42.609438134219999</v>
      </c>
      <c r="Z36" s="42">
        <f>34.43269454211+9.50373645508</f>
        <v>43.936430997190001</v>
      </c>
      <c r="AA36" s="42">
        <f>35.2380999364+10.38126873313</f>
        <v>45.619368669529997</v>
      </c>
      <c r="AB36" s="42">
        <f>36.94394057605+10.11273750403</f>
        <v>47.056678080079998</v>
      </c>
      <c r="AC36" s="42">
        <f>39.2305251566+10.95828254294</f>
        <v>50.18880769954</v>
      </c>
      <c r="AD36" s="42">
        <f>42.35841108926+10.95828254294</f>
        <v>53.3166936322</v>
      </c>
      <c r="AE36" s="42">
        <f>43.25413133069+11.7743432058</f>
        <v>55.028474536490002</v>
      </c>
      <c r="AF36" s="42">
        <f>43.79114442426+11.82606912106</f>
        <v>55.617213545319999</v>
      </c>
      <c r="AG36" s="42">
        <f>43.79114442426+11.6433601563</f>
        <v>55.434504580559995</v>
      </c>
      <c r="AH36" s="42">
        <f>43.79178208231+11.67778322252</f>
        <v>55.469565304829999</v>
      </c>
      <c r="AI36" s="42">
        <f>44.2072015405+11.982337129</f>
        <v>56.189538669500003</v>
      </c>
      <c r="AJ36" s="42">
        <f>45.7671494203+11.01780521859</f>
        <v>56.78495463889</v>
      </c>
      <c r="AK36" s="42">
        <f>44.86363096066+12.76529539818</f>
        <v>57.628926358839998</v>
      </c>
      <c r="AL36" s="42">
        <f>44.86363096066+12.85826483091</f>
        <v>57.721895791569999</v>
      </c>
      <c r="AM36" s="42">
        <f>44.86363096066+12.81983902414</f>
        <v>57.683469984799999</v>
      </c>
      <c r="AN36" s="42">
        <f>45.29353388917+12.9303916651</f>
        <v>58.223925554269996</v>
      </c>
      <c r="AO36" s="44">
        <f>45.29353388917+12.75137976789</f>
        <v>58.04491365706</v>
      </c>
      <c r="AP36" s="44">
        <f>44.86363096066+12.85826483091</f>
        <v>57.721895791569999</v>
      </c>
      <c r="AQ36" s="44">
        <f>45.29353388917+13.2194690524</f>
        <v>58.513002941570001</v>
      </c>
      <c r="AR36" s="42">
        <f>44.78280549358+13.23962204959</f>
        <v>58.022427543169997</v>
      </c>
      <c r="AS36" s="42">
        <f>43.7683614446+12.96113154883</f>
        <v>56.72949299343</v>
      </c>
      <c r="AT36" s="42">
        <f>43.53457349087+12.96113154883</f>
        <v>56.495705039699999</v>
      </c>
      <c r="AU36" s="42">
        <f>42.84157150996+13.12329672001</f>
        <v>55.964868229969994</v>
      </c>
      <c r="AV36" s="42">
        <f>42.84157150996+13.12329672001</f>
        <v>55.964868229969994</v>
      </c>
      <c r="AW36" s="42">
        <f>42.42776376354+13.8376872676</f>
        <v>56.265451031140003</v>
      </c>
      <c r="AX36" s="42">
        <f>41.80860350341+14.34426884664</f>
        <v>56.152872350049996</v>
      </c>
      <c r="AY36" s="42">
        <f>42.3912770563+14.34426884664</f>
        <v>56.735545902939997</v>
      </c>
    </row>
    <row r="37" spans="1:51" ht="16.5">
      <c r="A37" s="12"/>
      <c r="B37" s="12"/>
      <c r="C37" s="113" t="s">
        <v>11</v>
      </c>
      <c r="D37" s="113"/>
      <c r="E37" s="16">
        <f t="shared" ref="E37:L37" si="23">E38</f>
        <v>0.49890000000000001</v>
      </c>
      <c r="F37" s="16">
        <f t="shared" si="23"/>
        <v>0.49890000000000001</v>
      </c>
      <c r="G37" s="16">
        <f t="shared" si="23"/>
        <v>0.49890000000000001</v>
      </c>
      <c r="H37" s="16">
        <f t="shared" si="23"/>
        <v>0.68169999999999997</v>
      </c>
      <c r="I37" s="114">
        <f t="shared" si="23"/>
        <v>0.66239999999999999</v>
      </c>
      <c r="J37" s="114">
        <f t="shared" si="23"/>
        <v>0.67969999999999997</v>
      </c>
      <c r="K37" s="114">
        <f t="shared" si="23"/>
        <v>0.67730000000000001</v>
      </c>
      <c r="L37" s="114">
        <f t="shared" si="23"/>
        <v>1.0639000000000001</v>
      </c>
      <c r="M37" s="114">
        <f>M38</f>
        <v>1.0296000000000001</v>
      </c>
      <c r="N37" s="114">
        <f>N38</f>
        <v>0</v>
      </c>
      <c r="O37" s="114">
        <f>O38</f>
        <v>0</v>
      </c>
      <c r="P37" s="114">
        <f>P38</f>
        <v>0</v>
      </c>
      <c r="Q37" s="114">
        <f t="shared" ref="Q37:AP37" si="24">Q38</f>
        <v>0</v>
      </c>
      <c r="R37" s="114">
        <f t="shared" si="24"/>
        <v>0</v>
      </c>
      <c r="S37" s="114">
        <f t="shared" si="24"/>
        <v>0</v>
      </c>
      <c r="T37" s="114">
        <f t="shared" si="24"/>
        <v>0</v>
      </c>
      <c r="U37" s="114">
        <f t="shared" si="24"/>
        <v>6.6894999999999998</v>
      </c>
      <c r="V37" s="114">
        <f t="shared" si="24"/>
        <v>19.654599999999999</v>
      </c>
      <c r="W37" s="114">
        <f t="shared" si="24"/>
        <v>23.651</v>
      </c>
      <c r="X37" s="114">
        <f t="shared" si="24"/>
        <v>22.7178</v>
      </c>
      <c r="Y37" s="114">
        <f t="shared" si="24"/>
        <v>23.961200000000002</v>
      </c>
      <c r="Z37" s="114">
        <f t="shared" si="24"/>
        <v>26.4968</v>
      </c>
      <c r="AA37" s="114">
        <f t="shared" si="24"/>
        <v>28.231300000000001</v>
      </c>
      <c r="AB37" s="114">
        <f t="shared" si="24"/>
        <v>31.865500000000001</v>
      </c>
      <c r="AC37" s="114">
        <f t="shared" si="24"/>
        <v>35.385199999999998</v>
      </c>
      <c r="AD37" s="114">
        <f t="shared" si="24"/>
        <v>23.605799999999999</v>
      </c>
      <c r="AE37" s="114">
        <f t="shared" si="24"/>
        <v>9.3202999999999996</v>
      </c>
      <c r="AF37" s="114">
        <f t="shared" si="24"/>
        <v>25.2347</v>
      </c>
      <c r="AG37" s="114">
        <f t="shared" si="24"/>
        <v>33.9223</v>
      </c>
      <c r="AH37" s="114">
        <f t="shared" si="24"/>
        <v>40.767200000000003</v>
      </c>
      <c r="AI37" s="114">
        <f t="shared" si="24"/>
        <v>43.026299999999999</v>
      </c>
      <c r="AJ37" s="114">
        <f t="shared" si="24"/>
        <v>45.964100000000002</v>
      </c>
      <c r="AK37" s="114">
        <f t="shared" si="24"/>
        <v>46.422400000000003</v>
      </c>
      <c r="AL37" s="114">
        <f t="shared" si="24"/>
        <v>48.813899999999997</v>
      </c>
      <c r="AM37" s="114">
        <f t="shared" si="24"/>
        <v>50.441200000000002</v>
      </c>
      <c r="AN37" s="114">
        <f t="shared" si="24"/>
        <v>51.421599999999998</v>
      </c>
      <c r="AO37" s="114">
        <f t="shared" si="24"/>
        <v>56.218499999999999</v>
      </c>
      <c r="AP37" s="114">
        <f t="shared" si="24"/>
        <v>60.747199999999999</v>
      </c>
      <c r="AQ37" s="114">
        <f t="shared" ref="AQ37:AY37" si="25">AQ38</f>
        <v>62.851900000000001</v>
      </c>
      <c r="AR37" s="114">
        <f t="shared" si="25"/>
        <v>65.935400000000001</v>
      </c>
      <c r="AS37" s="114">
        <f t="shared" si="25"/>
        <v>68.340599999999995</v>
      </c>
      <c r="AT37" s="114">
        <f t="shared" si="25"/>
        <v>67.729500000000002</v>
      </c>
      <c r="AU37" s="114">
        <f t="shared" si="25"/>
        <v>71.241200000000006</v>
      </c>
      <c r="AV37" s="114">
        <f t="shared" si="25"/>
        <v>73.834100000000007</v>
      </c>
      <c r="AW37" s="114">
        <f t="shared" si="25"/>
        <v>76.414299999999997</v>
      </c>
      <c r="AX37" s="114">
        <f t="shared" si="25"/>
        <v>77.040099999999995</v>
      </c>
      <c r="AY37" s="114">
        <f t="shared" si="25"/>
        <v>79.858800000000002</v>
      </c>
    </row>
    <row r="38" spans="1:51" ht="16.5">
      <c r="A38" s="2"/>
      <c r="B38" s="2"/>
      <c r="C38" s="2"/>
      <c r="D38" s="2" t="s">
        <v>78</v>
      </c>
      <c r="E38" s="42">
        <v>0.49890000000000001</v>
      </c>
      <c r="F38" s="42">
        <v>0.49890000000000001</v>
      </c>
      <c r="G38" s="42">
        <v>0.49890000000000001</v>
      </c>
      <c r="H38" s="42">
        <v>0.68169999999999997</v>
      </c>
      <c r="I38" s="42">
        <v>0.66239999999999999</v>
      </c>
      <c r="J38" s="42">
        <v>0.67969999999999997</v>
      </c>
      <c r="K38" s="42">
        <v>0.67730000000000001</v>
      </c>
      <c r="L38" s="42">
        <v>1.0639000000000001</v>
      </c>
      <c r="M38" s="42">
        <v>1.0296000000000001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6.6894999999999998</v>
      </c>
      <c r="V38" s="42">
        <v>19.654599999999999</v>
      </c>
      <c r="W38" s="42">
        <v>23.651</v>
      </c>
      <c r="X38" s="42">
        <v>22.7178</v>
      </c>
      <c r="Y38" s="42">
        <v>23.961200000000002</v>
      </c>
      <c r="Z38" s="42">
        <v>26.4968</v>
      </c>
      <c r="AA38" s="42">
        <v>28.231300000000001</v>
      </c>
      <c r="AB38" s="42">
        <v>31.865500000000001</v>
      </c>
      <c r="AC38" s="42">
        <v>35.385199999999998</v>
      </c>
      <c r="AD38" s="42">
        <v>23.605799999999999</v>
      </c>
      <c r="AE38" s="42">
        <v>9.3202999999999996</v>
      </c>
      <c r="AF38" s="42">
        <v>25.2347</v>
      </c>
      <c r="AG38" s="42">
        <v>33.9223</v>
      </c>
      <c r="AH38" s="42">
        <v>40.767200000000003</v>
      </c>
      <c r="AI38" s="42">
        <v>43.026299999999999</v>
      </c>
      <c r="AJ38" s="42">
        <v>45.964100000000002</v>
      </c>
      <c r="AK38" s="42">
        <v>46.422400000000003</v>
      </c>
      <c r="AL38" s="42">
        <v>48.813899999999997</v>
      </c>
      <c r="AM38" s="42">
        <v>50.441200000000002</v>
      </c>
      <c r="AN38" s="42">
        <v>51.421599999999998</v>
      </c>
      <c r="AO38" s="44">
        <v>56.218499999999999</v>
      </c>
      <c r="AP38" s="44">
        <v>60.747199999999999</v>
      </c>
      <c r="AQ38" s="44">
        <v>62.851900000000001</v>
      </c>
      <c r="AR38" s="42">
        <v>65.935400000000001</v>
      </c>
      <c r="AS38" s="42">
        <v>68.340599999999995</v>
      </c>
      <c r="AT38" s="42">
        <v>67.729500000000002</v>
      </c>
      <c r="AU38" s="42">
        <v>71.241200000000006</v>
      </c>
      <c r="AV38" s="42">
        <v>73.834100000000007</v>
      </c>
      <c r="AW38" s="42">
        <v>76.414299999999997</v>
      </c>
      <c r="AX38" s="42">
        <v>77.040099999999995</v>
      </c>
      <c r="AY38" s="42">
        <v>79.858800000000002</v>
      </c>
    </row>
    <row r="39" spans="1:51" ht="16.5">
      <c r="A39" s="6"/>
      <c r="B39" s="6"/>
      <c r="C39" s="6"/>
      <c r="D39" s="6"/>
      <c r="E39" s="6"/>
      <c r="F39" s="6"/>
      <c r="G39" s="6"/>
      <c r="H39" s="6"/>
      <c r="I39" s="2"/>
      <c r="J39" s="2"/>
      <c r="K39" s="2"/>
      <c r="L39" s="2"/>
      <c r="M39" s="3"/>
      <c r="N39" s="3"/>
      <c r="O39" s="3"/>
      <c r="P39" s="3"/>
      <c r="Q39" s="103"/>
      <c r="R39" s="96"/>
      <c r="S39" s="96"/>
      <c r="T39" s="96"/>
      <c r="U39" s="96"/>
      <c r="V39" s="96"/>
      <c r="W39" s="96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4"/>
      <c r="AQ39" s="4"/>
      <c r="AR39" s="97"/>
      <c r="AS39" s="4"/>
      <c r="AU39" s="4"/>
      <c r="AV39" s="4"/>
      <c r="AW39" s="4"/>
    </row>
    <row r="40" spans="1:51" ht="16.5">
      <c r="A40" s="115" t="s">
        <v>17</v>
      </c>
      <c r="B40" s="116" t="s">
        <v>79</v>
      </c>
      <c r="C40" s="116"/>
      <c r="D40" s="116"/>
      <c r="E40" s="117">
        <f t="shared" ref="E40:L40" si="26">E41+E42</f>
        <v>5160.9310349903399</v>
      </c>
      <c r="F40" s="117">
        <f t="shared" si="26"/>
        <v>5191.9994954962795</v>
      </c>
      <c r="G40" s="117">
        <f t="shared" si="26"/>
        <v>5212.8669804492692</v>
      </c>
      <c r="H40" s="117">
        <f>H41+H42</f>
        <v>5289.253651</v>
      </c>
      <c r="I40" s="117">
        <f t="shared" si="26"/>
        <v>5442.7291479999994</v>
      </c>
      <c r="J40" s="117">
        <f t="shared" si="26"/>
        <v>5451.02986193999</v>
      </c>
      <c r="K40" s="117">
        <f t="shared" si="26"/>
        <v>5497.0025652988406</v>
      </c>
      <c r="L40" s="117">
        <f t="shared" si="26"/>
        <v>5033.8586378516502</v>
      </c>
      <c r="M40" s="117">
        <f>M41+M42</f>
        <v>4954.1983315365396</v>
      </c>
      <c r="N40" s="117">
        <f>N41+N42</f>
        <v>5010.9061113277403</v>
      </c>
      <c r="O40" s="117">
        <f>O41+O42</f>
        <v>4881.5798276064907</v>
      </c>
      <c r="P40" s="117">
        <f t="shared" ref="P40:AV40" si="27">P41+P42</f>
        <v>4938.9627057118396</v>
      </c>
      <c r="Q40" s="117">
        <f t="shared" si="27"/>
        <v>4950.5727229413696</v>
      </c>
      <c r="R40" s="117">
        <f t="shared" si="27"/>
        <v>4872.3819327870006</v>
      </c>
      <c r="S40" s="117">
        <f t="shared" si="27"/>
        <v>5038.1917765774906</v>
      </c>
      <c r="T40" s="117">
        <f t="shared" si="27"/>
        <v>4765.7966914538792</v>
      </c>
      <c r="U40" s="117">
        <f t="shared" si="27"/>
        <v>4963.7095637987895</v>
      </c>
      <c r="V40" s="117">
        <f t="shared" si="27"/>
        <v>5119.8775668828303</v>
      </c>
      <c r="W40" s="117">
        <f t="shared" si="27"/>
        <v>5124.2138445890505</v>
      </c>
      <c r="X40" s="117">
        <f t="shared" si="27"/>
        <v>5263.3620948813696</v>
      </c>
      <c r="Y40" s="117">
        <f t="shared" si="27"/>
        <v>5495.6117162907194</v>
      </c>
      <c r="Z40" s="117">
        <f t="shared" si="27"/>
        <v>5609.8553001263099</v>
      </c>
      <c r="AA40" s="117">
        <f t="shared" si="27"/>
        <v>5491.4596851956694</v>
      </c>
      <c r="AB40" s="117">
        <f t="shared" si="27"/>
        <v>5689.6745403416098</v>
      </c>
      <c r="AC40" s="117">
        <f t="shared" si="27"/>
        <v>5722.3968733243491</v>
      </c>
      <c r="AD40" s="117">
        <f t="shared" si="27"/>
        <v>5881.3784094624507</v>
      </c>
      <c r="AE40" s="117">
        <f t="shared" si="27"/>
        <v>6000.4579135987397</v>
      </c>
      <c r="AF40" s="117">
        <f t="shared" si="27"/>
        <v>6569.05502093428</v>
      </c>
      <c r="AG40" s="117">
        <f t="shared" si="27"/>
        <v>6674.7696629267493</v>
      </c>
      <c r="AH40" s="117">
        <f t="shared" si="27"/>
        <v>6650.8263128559211</v>
      </c>
      <c r="AI40" s="117">
        <f t="shared" si="27"/>
        <v>7313.3606632260498</v>
      </c>
      <c r="AJ40" s="117">
        <f t="shared" si="27"/>
        <v>7593.3734396174204</v>
      </c>
      <c r="AK40" s="117">
        <f t="shared" si="27"/>
        <v>7346.5343264311887</v>
      </c>
      <c r="AL40" s="117">
        <f t="shared" si="27"/>
        <v>7370.2061424767053</v>
      </c>
      <c r="AM40" s="117">
        <f t="shared" si="27"/>
        <v>7615.9916635364298</v>
      </c>
      <c r="AN40" s="117">
        <f t="shared" si="27"/>
        <v>7495.6283503702698</v>
      </c>
      <c r="AO40" s="117">
        <f t="shared" si="27"/>
        <v>7692.4721776297501</v>
      </c>
      <c r="AP40" s="117">
        <f t="shared" si="27"/>
        <v>7731.6407574254799</v>
      </c>
      <c r="AQ40" s="117">
        <f t="shared" si="27"/>
        <v>7504.3482393731792</v>
      </c>
      <c r="AR40" s="117">
        <f t="shared" si="27"/>
        <v>7654.1553174731998</v>
      </c>
      <c r="AS40" s="117">
        <f t="shared" si="27"/>
        <v>7575.1978679491403</v>
      </c>
      <c r="AT40" s="117">
        <f t="shared" si="27"/>
        <v>7461.7693543618989</v>
      </c>
      <c r="AU40" s="117">
        <f t="shared" si="27"/>
        <v>7425.8641421507909</v>
      </c>
      <c r="AV40" s="117">
        <f t="shared" si="27"/>
        <v>7433.761049838371</v>
      </c>
      <c r="AW40" s="117">
        <f t="shared" ref="AW40:AY40" si="28">AW41+AW42</f>
        <v>7270.9341789375903</v>
      </c>
      <c r="AX40" s="117">
        <f t="shared" si="28"/>
        <v>7164.0839874854491</v>
      </c>
      <c r="AY40" s="117">
        <f t="shared" si="28"/>
        <v>7306.8866106493497</v>
      </c>
    </row>
    <row r="41" spans="1:51" ht="16.5">
      <c r="A41" s="6"/>
      <c r="B41" s="6"/>
      <c r="C41" s="5" t="s">
        <v>10</v>
      </c>
      <c r="D41" s="5"/>
      <c r="E41" s="65">
        <f t="shared" ref="E41:AV41" si="29">E22-E26</f>
        <v>1485.04067499034</v>
      </c>
      <c r="F41" s="65">
        <f t="shared" si="29"/>
        <v>1510.4312914962798</v>
      </c>
      <c r="G41" s="65">
        <f t="shared" si="29"/>
        <v>1573.8590904492698</v>
      </c>
      <c r="H41" s="65">
        <f>H22-H26</f>
        <v>1700.035419</v>
      </c>
      <c r="I41" s="65">
        <f t="shared" si="29"/>
        <v>1934.7904329999999</v>
      </c>
      <c r="J41" s="65">
        <f t="shared" si="29"/>
        <v>1858.5437669399901</v>
      </c>
      <c r="K41" s="65">
        <f t="shared" si="29"/>
        <v>1856.1987122988403</v>
      </c>
      <c r="L41" s="65">
        <f t="shared" si="29"/>
        <v>1745.38483265169</v>
      </c>
      <c r="M41" s="65">
        <f t="shared" si="29"/>
        <v>1621.0829640108796</v>
      </c>
      <c r="N41" s="65">
        <f t="shared" si="29"/>
        <v>1658.7673991722802</v>
      </c>
      <c r="O41" s="65">
        <f t="shared" si="29"/>
        <v>1704.14048267928</v>
      </c>
      <c r="P41" s="65">
        <f t="shared" si="29"/>
        <v>1909.2219131930301</v>
      </c>
      <c r="Q41" s="65">
        <f t="shared" si="29"/>
        <v>1933.0995503343997</v>
      </c>
      <c r="R41" s="65">
        <f t="shared" si="29"/>
        <v>1991.9108091659002</v>
      </c>
      <c r="S41" s="65">
        <f t="shared" si="29"/>
        <v>2239.5048889257</v>
      </c>
      <c r="T41" s="65">
        <f t="shared" si="29"/>
        <v>2194.0454940886198</v>
      </c>
      <c r="U41" s="65">
        <f t="shared" si="29"/>
        <v>2298.1300237915098</v>
      </c>
      <c r="V41" s="65">
        <f t="shared" si="29"/>
        <v>2407.6810654344599</v>
      </c>
      <c r="W41" s="65">
        <f t="shared" si="29"/>
        <v>2476.2981754344601</v>
      </c>
      <c r="X41" s="65">
        <f t="shared" si="29"/>
        <v>2328.2854585524801</v>
      </c>
      <c r="Y41" s="65">
        <f t="shared" si="29"/>
        <v>2510.3342443628894</v>
      </c>
      <c r="Z41" s="65">
        <f t="shared" si="29"/>
        <v>2621.0166945947403</v>
      </c>
      <c r="AA41" s="65">
        <f t="shared" si="29"/>
        <v>2511.3642590251793</v>
      </c>
      <c r="AB41" s="65">
        <f t="shared" si="29"/>
        <v>2691.6837516478699</v>
      </c>
      <c r="AC41" s="65">
        <f t="shared" si="29"/>
        <v>2757.3303160084797</v>
      </c>
      <c r="AD41" s="65">
        <f t="shared" si="29"/>
        <v>2888.3526957417102</v>
      </c>
      <c r="AE41" s="65">
        <f t="shared" si="29"/>
        <v>3090.3768316020496</v>
      </c>
      <c r="AF41" s="65">
        <f t="shared" si="29"/>
        <v>3727.7909697758905</v>
      </c>
      <c r="AG41" s="65">
        <f t="shared" si="29"/>
        <v>3792.5534880715195</v>
      </c>
      <c r="AH41" s="65">
        <f t="shared" si="29"/>
        <v>3770.0403598442308</v>
      </c>
      <c r="AI41" s="65">
        <f t="shared" si="29"/>
        <v>4413.5959457082299</v>
      </c>
      <c r="AJ41" s="65">
        <f t="shared" si="29"/>
        <v>4773.16329779849</v>
      </c>
      <c r="AK41" s="65">
        <f t="shared" si="29"/>
        <v>4876.6938864311896</v>
      </c>
      <c r="AL41" s="65">
        <f t="shared" si="29"/>
        <v>4948.5269924767053</v>
      </c>
      <c r="AM41" s="65">
        <f t="shared" si="29"/>
        <v>5192.05235353643</v>
      </c>
      <c r="AN41" s="65">
        <f t="shared" si="29"/>
        <v>5219.8926403702699</v>
      </c>
      <c r="AO41" s="65">
        <f t="shared" si="29"/>
        <v>5540.3461576297505</v>
      </c>
      <c r="AP41" s="65">
        <f t="shared" si="29"/>
        <v>5514.1629474254796</v>
      </c>
      <c r="AQ41" s="65">
        <f t="shared" si="29"/>
        <v>5307.9513093731794</v>
      </c>
      <c r="AR41" s="65">
        <f t="shared" si="29"/>
        <v>5447.6883574732001</v>
      </c>
      <c r="AS41" s="65">
        <f t="shared" si="29"/>
        <v>5355.8519279491402</v>
      </c>
      <c r="AT41" s="65">
        <f t="shared" si="29"/>
        <v>5303.8883843618996</v>
      </c>
      <c r="AU41" s="65">
        <f t="shared" si="29"/>
        <v>5238.1994621507911</v>
      </c>
      <c r="AV41" s="65">
        <f t="shared" si="29"/>
        <v>5302.3316598383708</v>
      </c>
      <c r="AW41" s="65">
        <f t="shared" ref="AW41:AY41" si="30">AW22-AW26</f>
        <v>5131.7118489375898</v>
      </c>
      <c r="AX41" s="65">
        <f t="shared" si="30"/>
        <v>4981.8677074854495</v>
      </c>
      <c r="AY41" s="65">
        <f t="shared" si="30"/>
        <v>5036.1537317367493</v>
      </c>
    </row>
    <row r="42" spans="1:51" ht="16.5">
      <c r="A42" s="50"/>
      <c r="B42" s="50"/>
      <c r="C42" s="9" t="s">
        <v>11</v>
      </c>
      <c r="D42" s="9"/>
      <c r="E42" s="66">
        <f t="shared" ref="E42:AV42" si="31">E23-E37</f>
        <v>3675.8903599999999</v>
      </c>
      <c r="F42" s="66">
        <f t="shared" si="31"/>
        <v>3681.5682039999997</v>
      </c>
      <c r="G42" s="66">
        <f t="shared" si="31"/>
        <v>3639.0078899999999</v>
      </c>
      <c r="H42" s="66">
        <f>H23-H37</f>
        <v>3589.2182320000002</v>
      </c>
      <c r="I42" s="66">
        <f t="shared" si="31"/>
        <v>3507.9387149999998</v>
      </c>
      <c r="J42" s="66">
        <f t="shared" si="31"/>
        <v>3592.4860950000002</v>
      </c>
      <c r="K42" s="66">
        <f t="shared" si="31"/>
        <v>3640.8038530000008</v>
      </c>
      <c r="L42" s="66">
        <f t="shared" si="31"/>
        <v>3288.4738051999602</v>
      </c>
      <c r="M42" s="66">
        <f t="shared" si="31"/>
        <v>3333.1153675256605</v>
      </c>
      <c r="N42" s="66">
        <f t="shared" si="31"/>
        <v>3352.1387121554599</v>
      </c>
      <c r="O42" s="66">
        <f t="shared" si="31"/>
        <v>3177.4393449272102</v>
      </c>
      <c r="P42" s="66">
        <f t="shared" si="31"/>
        <v>3029.7407925188099</v>
      </c>
      <c r="Q42" s="66">
        <f t="shared" si="31"/>
        <v>3017.4731726069704</v>
      </c>
      <c r="R42" s="66">
        <f t="shared" si="31"/>
        <v>2880.4711236211006</v>
      </c>
      <c r="S42" s="66">
        <f t="shared" si="31"/>
        <v>2798.6868876517901</v>
      </c>
      <c r="T42" s="66">
        <f t="shared" si="31"/>
        <v>2571.7511973652599</v>
      </c>
      <c r="U42" s="66">
        <f t="shared" si="31"/>
        <v>2665.5795400072802</v>
      </c>
      <c r="V42" s="66">
        <f t="shared" si="31"/>
        <v>2712.1965014483703</v>
      </c>
      <c r="W42" s="66">
        <f t="shared" si="31"/>
        <v>2647.91566915459</v>
      </c>
      <c r="X42" s="66">
        <f t="shared" si="31"/>
        <v>2935.0766363288899</v>
      </c>
      <c r="Y42" s="66">
        <f t="shared" si="31"/>
        <v>2985.27747192783</v>
      </c>
      <c r="Z42" s="66">
        <f t="shared" si="31"/>
        <v>2988.83860553157</v>
      </c>
      <c r="AA42" s="66">
        <f t="shared" si="31"/>
        <v>2980.0954261704901</v>
      </c>
      <c r="AB42" s="66">
        <f t="shared" si="31"/>
        <v>2997.9907886937403</v>
      </c>
      <c r="AC42" s="66">
        <f t="shared" si="31"/>
        <v>2965.0665573158699</v>
      </c>
      <c r="AD42" s="66">
        <f t="shared" si="31"/>
        <v>2993.0257137207404</v>
      </c>
      <c r="AE42" s="66">
        <f t="shared" si="31"/>
        <v>2910.08108199669</v>
      </c>
      <c r="AF42" s="66">
        <f t="shared" si="31"/>
        <v>2841.2640511583895</v>
      </c>
      <c r="AG42" s="66">
        <f t="shared" si="31"/>
        <v>2882.2161748552298</v>
      </c>
      <c r="AH42" s="66">
        <f t="shared" si="31"/>
        <v>2880.7859530116903</v>
      </c>
      <c r="AI42" s="66">
        <f t="shared" si="31"/>
        <v>2899.7647175178199</v>
      </c>
      <c r="AJ42" s="66">
        <f t="shared" si="31"/>
        <v>2820.21014181893</v>
      </c>
      <c r="AK42" s="66">
        <f t="shared" si="31"/>
        <v>2469.8404399999995</v>
      </c>
      <c r="AL42" s="66">
        <f t="shared" si="31"/>
        <v>2421.6791499999999</v>
      </c>
      <c r="AM42" s="66">
        <f t="shared" si="31"/>
        <v>2423.9393099999998</v>
      </c>
      <c r="AN42" s="66">
        <f t="shared" si="31"/>
        <v>2275.7357099999999</v>
      </c>
      <c r="AO42" s="66">
        <f t="shared" si="31"/>
        <v>2152.1260199999997</v>
      </c>
      <c r="AP42" s="66">
        <f t="shared" si="31"/>
        <v>2217.4778100000003</v>
      </c>
      <c r="AQ42" s="66">
        <f t="shared" si="31"/>
        <v>2196.3969300000003</v>
      </c>
      <c r="AR42" s="66">
        <f t="shared" si="31"/>
        <v>2206.4669600000002</v>
      </c>
      <c r="AS42" s="66">
        <f t="shared" si="31"/>
        <v>2219.3459399999997</v>
      </c>
      <c r="AT42" s="66">
        <f t="shared" si="31"/>
        <v>2157.8809699999997</v>
      </c>
      <c r="AU42" s="66">
        <f t="shared" si="31"/>
        <v>2187.6646799999999</v>
      </c>
      <c r="AV42" s="66">
        <f t="shared" si="31"/>
        <v>2131.4293899999998</v>
      </c>
      <c r="AW42" s="66">
        <f t="shared" ref="AW42:AY42" si="32">AW23-AW37</f>
        <v>2139.2223300000005</v>
      </c>
      <c r="AX42" s="66">
        <f t="shared" si="32"/>
        <v>2182.2162799999996</v>
      </c>
      <c r="AY42" s="66">
        <f t="shared" si="32"/>
        <v>2270.7328789126</v>
      </c>
    </row>
    <row r="43" spans="1:51" ht="16.5">
      <c r="A43" s="67" t="s">
        <v>38</v>
      </c>
      <c r="B43" s="2"/>
      <c r="C43" s="2"/>
      <c r="D43" s="2"/>
      <c r="E43" s="118"/>
      <c r="F43" s="2"/>
      <c r="G43" s="2"/>
      <c r="H43" s="118"/>
      <c r="I43" s="118"/>
      <c r="J43" s="118"/>
      <c r="K43" s="2"/>
      <c r="L43" s="2"/>
      <c r="M43" s="3"/>
      <c r="N43" s="3"/>
      <c r="O43" s="3"/>
      <c r="P43" s="3"/>
      <c r="Q43" s="96"/>
      <c r="R43" s="96"/>
      <c r="S43" s="96"/>
      <c r="T43" s="96"/>
      <c r="U43" s="96"/>
      <c r="V43" s="96"/>
      <c r="W43" s="96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4"/>
      <c r="AP43" s="4"/>
      <c r="AQ43" s="4"/>
      <c r="AR43" s="97"/>
      <c r="AS43" s="4"/>
      <c r="AU43" s="4"/>
      <c r="AV43" s="4"/>
      <c r="AW43" s="4"/>
    </row>
    <row r="44" spans="1:51" ht="16.5">
      <c r="A44" s="119" t="s">
        <v>39</v>
      </c>
      <c r="B44" s="40" t="s">
        <v>80</v>
      </c>
      <c r="C44" s="40"/>
      <c r="D44" s="40"/>
      <c r="E44" s="120">
        <f t="shared" ref="E44:AR44" si="33">E45+E49</f>
        <v>750.16700000000003</v>
      </c>
      <c r="F44" s="120">
        <f t="shared" si="33"/>
        <v>760.08</v>
      </c>
      <c r="G44" s="120">
        <f t="shared" si="33"/>
        <v>812.34400000000005</v>
      </c>
      <c r="H44" s="120">
        <f t="shared" si="33"/>
        <v>833.70699999999999</v>
      </c>
      <c r="I44" s="120">
        <f t="shared" si="33"/>
        <v>603.94299999999998</v>
      </c>
      <c r="J44" s="120">
        <f t="shared" si="33"/>
        <v>611.86500000000001</v>
      </c>
      <c r="K44" s="120">
        <f t="shared" si="33"/>
        <v>596.78600000000006</v>
      </c>
      <c r="L44" s="120">
        <f t="shared" si="33"/>
        <v>586.34900000000005</v>
      </c>
      <c r="M44" s="120">
        <f t="shared" si="33"/>
        <v>570.50400000000002</v>
      </c>
      <c r="N44" s="120">
        <f t="shared" si="33"/>
        <v>593.41899999999998</v>
      </c>
      <c r="O44" s="120">
        <f t="shared" si="33"/>
        <v>552.73099999999999</v>
      </c>
      <c r="P44" s="120">
        <f t="shared" si="33"/>
        <v>569.92700000000002</v>
      </c>
      <c r="Q44" s="120">
        <f t="shared" si="33"/>
        <v>557.19299999999998</v>
      </c>
      <c r="R44" s="120">
        <f t="shared" si="33"/>
        <v>527.08500000000004</v>
      </c>
      <c r="S44" s="120">
        <f t="shared" si="33"/>
        <v>513.52499999999998</v>
      </c>
      <c r="T44" s="120">
        <f t="shared" si="33"/>
        <v>484.18399999999997</v>
      </c>
      <c r="U44" s="120">
        <f t="shared" si="33"/>
        <v>519.66600000000005</v>
      </c>
      <c r="V44" s="120">
        <f t="shared" si="33"/>
        <v>523.77499999999998</v>
      </c>
      <c r="W44" s="120">
        <f t="shared" si="33"/>
        <v>512.81399999999996</v>
      </c>
      <c r="X44" s="121">
        <f t="shared" si="33"/>
        <v>545.577</v>
      </c>
      <c r="Y44" s="121">
        <f t="shared" si="33"/>
        <v>552.88700000000006</v>
      </c>
      <c r="Z44" s="121">
        <f t="shared" si="33"/>
        <v>580.50700000000006</v>
      </c>
      <c r="AA44" s="121">
        <f t="shared" si="33"/>
        <v>579.26</v>
      </c>
      <c r="AB44" s="121">
        <f t="shared" si="33"/>
        <v>614.13400000000001</v>
      </c>
      <c r="AC44" s="121">
        <f t="shared" si="33"/>
        <v>585.71499999999992</v>
      </c>
      <c r="AD44" s="121">
        <f t="shared" si="33"/>
        <v>609.44399999999996</v>
      </c>
      <c r="AE44" s="121">
        <f t="shared" si="33"/>
        <v>560.66300000000001</v>
      </c>
      <c r="AF44" s="121">
        <f t="shared" si="33"/>
        <v>549.80799999999999</v>
      </c>
      <c r="AG44" s="121">
        <f t="shared" si="33"/>
        <v>525.13099999999997</v>
      </c>
      <c r="AH44" s="121">
        <f t="shared" si="33"/>
        <v>594.94200000000001</v>
      </c>
      <c r="AI44" s="121">
        <f t="shared" si="33"/>
        <v>583.35299999999995</v>
      </c>
      <c r="AJ44" s="121">
        <f t="shared" si="33"/>
        <v>573.37200000000007</v>
      </c>
      <c r="AK44" s="121">
        <f t="shared" si="33"/>
        <v>549.53599999999994</v>
      </c>
      <c r="AL44" s="121">
        <f t="shared" si="33"/>
        <v>544.91099999999994</v>
      </c>
      <c r="AM44" s="121">
        <f t="shared" si="33"/>
        <v>502.06299999999999</v>
      </c>
      <c r="AN44" s="121">
        <f t="shared" si="33"/>
        <v>502.31200000000001</v>
      </c>
      <c r="AO44" s="121">
        <f t="shared" si="33"/>
        <v>479.79300000000001</v>
      </c>
      <c r="AP44" s="121">
        <f t="shared" si="33"/>
        <v>490.56200000000001</v>
      </c>
      <c r="AQ44" s="121">
        <f t="shared" si="33"/>
        <v>486.77</v>
      </c>
      <c r="AR44" s="121">
        <f t="shared" si="33"/>
        <v>470.80900000000003</v>
      </c>
      <c r="AS44" s="121">
        <f>AS45+AS49</f>
        <v>471.41500000000008</v>
      </c>
      <c r="AT44" s="121">
        <f>AT45+AT49</f>
        <v>462.24600000000004</v>
      </c>
      <c r="AU44" s="121">
        <f>AU45+AU49</f>
        <v>456.34799999999996</v>
      </c>
      <c r="AV44" s="121">
        <f>AV45+AV49</f>
        <v>426.20400000000001</v>
      </c>
      <c r="AW44" s="121">
        <f t="shared" ref="AW44:AY44" si="34">AW45+AW49</f>
        <v>415.70700000000005</v>
      </c>
      <c r="AX44" s="121">
        <f t="shared" si="34"/>
        <v>401.90700000000004</v>
      </c>
      <c r="AY44" s="121">
        <f t="shared" si="34"/>
        <v>445.2</v>
      </c>
    </row>
    <row r="45" spans="1:51" ht="16.5">
      <c r="A45" s="40"/>
      <c r="B45" s="40"/>
      <c r="C45" s="40" t="s">
        <v>10</v>
      </c>
      <c r="D45" s="40"/>
      <c r="E45" s="120">
        <f t="shared" ref="E45:Y45" si="35">SUM(E46:E48)</f>
        <v>35.180999999999997</v>
      </c>
      <c r="F45" s="120">
        <f t="shared" si="35"/>
        <v>30.163</v>
      </c>
      <c r="G45" s="120">
        <f t="shared" si="35"/>
        <v>32.021999999999998</v>
      </c>
      <c r="H45" s="120">
        <f t="shared" si="35"/>
        <v>33.134</v>
      </c>
      <c r="I45" s="120">
        <f t="shared" si="35"/>
        <v>30.919999999999998</v>
      </c>
      <c r="J45" s="120">
        <f t="shared" si="35"/>
        <v>38.970999999999997</v>
      </c>
      <c r="K45" s="120">
        <f t="shared" si="35"/>
        <v>37.216000000000001</v>
      </c>
      <c r="L45" s="120">
        <f t="shared" si="35"/>
        <v>48.182000000000002</v>
      </c>
      <c r="M45" s="120">
        <f t="shared" si="35"/>
        <v>48.141000000000005</v>
      </c>
      <c r="N45" s="120">
        <f t="shared" si="35"/>
        <v>48.13</v>
      </c>
      <c r="O45" s="19">
        <f t="shared" si="35"/>
        <v>50.122</v>
      </c>
      <c r="P45" s="120">
        <f t="shared" si="35"/>
        <v>72.113</v>
      </c>
      <c r="Q45" s="120">
        <f t="shared" si="35"/>
        <v>72.080999999999989</v>
      </c>
      <c r="R45" s="120">
        <f t="shared" si="35"/>
        <v>71.994</v>
      </c>
      <c r="S45" s="120">
        <f t="shared" si="35"/>
        <v>64.981999999999999</v>
      </c>
      <c r="T45" s="120">
        <f t="shared" si="35"/>
        <v>64.967999999999989</v>
      </c>
      <c r="U45" s="120">
        <f t="shared" si="35"/>
        <v>72.954999999999998</v>
      </c>
      <c r="V45" s="120">
        <f t="shared" si="35"/>
        <v>72.938000000000002</v>
      </c>
      <c r="W45" s="120">
        <f t="shared" si="35"/>
        <v>72.918999999999997</v>
      </c>
      <c r="X45" s="121">
        <f t="shared" si="35"/>
        <v>72.905000000000001</v>
      </c>
      <c r="Y45" s="121">
        <f t="shared" si="35"/>
        <v>89.051000000000002</v>
      </c>
      <c r="Z45" s="121">
        <f>SUM(Z46:Z47)</f>
        <v>89.033999999999992</v>
      </c>
      <c r="AA45" s="121">
        <f>SUM(AA46:AA47)</f>
        <v>89.022999999999996</v>
      </c>
      <c r="AB45" s="121">
        <f>AB46+AB47</f>
        <v>79.518999999999991</v>
      </c>
      <c r="AC45" s="121">
        <f t="shared" ref="AC45:AJ45" si="36">SUM(AC46:AC47)</f>
        <v>91.516999999999996</v>
      </c>
      <c r="AD45" s="121">
        <f t="shared" si="36"/>
        <v>112.45399999999999</v>
      </c>
      <c r="AE45" s="121">
        <f t="shared" si="36"/>
        <v>112.45299999999999</v>
      </c>
      <c r="AF45" s="121">
        <f t="shared" si="36"/>
        <v>100.44799999999999</v>
      </c>
      <c r="AG45" s="121">
        <f t="shared" si="36"/>
        <v>91.646999999999991</v>
      </c>
      <c r="AH45" s="121">
        <f t="shared" si="36"/>
        <v>163.64499999999998</v>
      </c>
      <c r="AI45" s="121">
        <f t="shared" si="36"/>
        <v>161.45599999999999</v>
      </c>
      <c r="AJ45" s="121">
        <f t="shared" si="36"/>
        <v>157.58699999999999</v>
      </c>
      <c r="AK45" s="121">
        <f>SUM(AK46:AK47)</f>
        <v>157.43600000000001</v>
      </c>
      <c r="AL45" s="121">
        <f>SUM(AL46:AL47)</f>
        <v>155.55699999999999</v>
      </c>
      <c r="AM45" s="121">
        <f>SUM(AM46:AM47)</f>
        <v>144.18099999999998</v>
      </c>
      <c r="AN45" s="121">
        <f>SUM(AN46:AN47)</f>
        <v>144.18099999999998</v>
      </c>
      <c r="AO45" s="122">
        <v>143.858</v>
      </c>
      <c r="AP45" s="122">
        <v>143.858</v>
      </c>
      <c r="AQ45" s="121">
        <f>AQ46+AQ47</f>
        <v>143.619</v>
      </c>
      <c r="AR45" s="121">
        <f>SUM(AR46:AR47)</f>
        <v>131.43099999999998</v>
      </c>
      <c r="AS45" s="121">
        <f>AS46+AS47</f>
        <v>131.244</v>
      </c>
      <c r="AT45" s="121">
        <f>SUM(AT46:AT47)</f>
        <v>131.01900000000001</v>
      </c>
      <c r="AU45" s="121">
        <f>SUM(AU46:AU47)</f>
        <v>130.79399999999998</v>
      </c>
      <c r="AV45" s="121">
        <f>SUM(AV46:AV47)</f>
        <v>118.069</v>
      </c>
      <c r="AW45" s="121">
        <f t="shared" ref="AW45:AY45" si="37">SUM(AW46:AW47)</f>
        <v>117.444</v>
      </c>
      <c r="AX45" s="121">
        <f t="shared" si="37"/>
        <v>105.934</v>
      </c>
      <c r="AY45" s="121">
        <f t="shared" si="37"/>
        <v>137.78199999999998</v>
      </c>
    </row>
    <row r="46" spans="1:51" ht="16.5">
      <c r="A46" s="2"/>
      <c r="B46" s="2"/>
      <c r="C46" s="2"/>
      <c r="D46" s="2" t="s">
        <v>81</v>
      </c>
      <c r="E46" s="42">
        <v>34.997999999999998</v>
      </c>
      <c r="F46" s="42">
        <v>29.98</v>
      </c>
      <c r="G46" s="42">
        <v>31.838999999999999</v>
      </c>
      <c r="H46" s="42">
        <v>32.951000000000001</v>
      </c>
      <c r="I46" s="42">
        <v>30.736999999999998</v>
      </c>
      <c r="J46" s="42">
        <v>38.787999999999997</v>
      </c>
      <c r="K46" s="42">
        <v>37.033000000000001</v>
      </c>
      <c r="L46" s="42">
        <v>48.012</v>
      </c>
      <c r="M46" s="42">
        <v>47.99</v>
      </c>
      <c r="N46" s="42">
        <v>47.978999999999999</v>
      </c>
      <c r="O46" s="42">
        <v>49.970999999999997</v>
      </c>
      <c r="P46" s="42">
        <v>71.962000000000003</v>
      </c>
      <c r="Q46" s="42">
        <v>71.944999999999993</v>
      </c>
      <c r="R46" s="42">
        <v>71.858000000000004</v>
      </c>
      <c r="S46" s="42">
        <v>64.846000000000004</v>
      </c>
      <c r="T46" s="42">
        <v>64.831999999999994</v>
      </c>
      <c r="U46" s="42">
        <v>72.819000000000003</v>
      </c>
      <c r="V46" s="42">
        <v>72.802000000000007</v>
      </c>
      <c r="W46" s="42">
        <v>72.783000000000001</v>
      </c>
      <c r="X46" s="42">
        <v>72.769000000000005</v>
      </c>
      <c r="Y46" s="42">
        <v>88.915000000000006</v>
      </c>
      <c r="Z46" s="42">
        <v>88.897999999999996</v>
      </c>
      <c r="AA46" s="42">
        <v>88.887</v>
      </c>
      <c r="AB46" s="42">
        <v>79.382999999999996</v>
      </c>
      <c r="AC46" s="42">
        <v>91.381</v>
      </c>
      <c r="AD46" s="42">
        <v>112.318</v>
      </c>
      <c r="AE46" s="42">
        <v>112.31699999999999</v>
      </c>
      <c r="AF46" s="42">
        <v>100.312</v>
      </c>
      <c r="AG46" s="42">
        <v>91.510999999999996</v>
      </c>
      <c r="AH46" s="42">
        <v>163.50899999999999</v>
      </c>
      <c r="AI46" s="42">
        <v>161.32</v>
      </c>
      <c r="AJ46" s="42">
        <v>157.45099999999999</v>
      </c>
      <c r="AK46" s="42">
        <v>157.30000000000001</v>
      </c>
      <c r="AL46" s="42">
        <v>155.42099999999999</v>
      </c>
      <c r="AM46" s="42">
        <v>144.04499999999999</v>
      </c>
      <c r="AN46" s="42">
        <v>144.04499999999999</v>
      </c>
      <c r="AO46" s="44">
        <v>0.13600000000000001</v>
      </c>
      <c r="AP46" s="44">
        <v>0.13600000000000001</v>
      </c>
      <c r="AQ46" s="44">
        <v>143.483</v>
      </c>
      <c r="AR46" s="42">
        <v>131.29499999999999</v>
      </c>
      <c r="AS46" s="42">
        <v>131.108</v>
      </c>
      <c r="AT46" s="42">
        <v>130.88300000000001</v>
      </c>
      <c r="AU46" s="42">
        <v>130.65799999999999</v>
      </c>
      <c r="AV46" s="42">
        <v>117.93300000000001</v>
      </c>
      <c r="AW46" s="42">
        <v>117.30800000000001</v>
      </c>
      <c r="AX46" s="42">
        <v>105.798</v>
      </c>
      <c r="AY46" s="42">
        <v>137.64599999999999</v>
      </c>
    </row>
    <row r="47" spans="1:51" ht="16.5">
      <c r="A47" s="2"/>
      <c r="B47" s="2"/>
      <c r="C47" s="2"/>
      <c r="D47" s="2" t="s">
        <v>82</v>
      </c>
      <c r="E47" s="42">
        <v>0.183</v>
      </c>
      <c r="F47" s="42">
        <v>0.183</v>
      </c>
      <c r="G47" s="42">
        <v>0.183</v>
      </c>
      <c r="H47" s="42">
        <v>0.183</v>
      </c>
      <c r="I47" s="42">
        <v>0.183</v>
      </c>
      <c r="J47" s="42">
        <v>0.183</v>
      </c>
      <c r="K47" s="42">
        <v>0.183</v>
      </c>
      <c r="L47" s="42">
        <v>0.17</v>
      </c>
      <c r="M47" s="42">
        <v>0.151</v>
      </c>
      <c r="N47" s="42">
        <v>0.151</v>
      </c>
      <c r="O47" s="42">
        <v>0.151</v>
      </c>
      <c r="P47" s="42">
        <v>0.151</v>
      </c>
      <c r="Q47" s="42">
        <v>0.13600000000000001</v>
      </c>
      <c r="R47" s="42">
        <v>0.13600000000000001</v>
      </c>
      <c r="S47" s="42">
        <v>0.13600000000000001</v>
      </c>
      <c r="T47" s="42">
        <v>0.13600000000000001</v>
      </c>
      <c r="U47" s="42">
        <v>0.13600000000000001</v>
      </c>
      <c r="V47" s="42">
        <v>0.13600000000000001</v>
      </c>
      <c r="W47" s="42">
        <v>0.13600000000000001</v>
      </c>
      <c r="X47" s="42">
        <v>0.13600000000000001</v>
      </c>
      <c r="Y47" s="42">
        <v>0.13600000000000001</v>
      </c>
      <c r="Z47" s="42">
        <v>0.13600000000000001</v>
      </c>
      <c r="AA47" s="42">
        <v>0.13600000000000001</v>
      </c>
      <c r="AB47" s="42">
        <v>0.13600000000000001</v>
      </c>
      <c r="AC47" s="42">
        <v>0.13600000000000001</v>
      </c>
      <c r="AD47" s="42">
        <v>0.13600000000000001</v>
      </c>
      <c r="AE47" s="42">
        <v>0.13600000000000001</v>
      </c>
      <c r="AF47" s="42">
        <v>0.13600000000000001</v>
      </c>
      <c r="AG47" s="42">
        <v>0.13600000000000001</v>
      </c>
      <c r="AH47" s="42">
        <v>0.13600000000000001</v>
      </c>
      <c r="AI47" s="42">
        <v>0.13600000000000001</v>
      </c>
      <c r="AJ47" s="42">
        <v>0.13600000000000001</v>
      </c>
      <c r="AK47" s="42">
        <v>0.13600000000000001</v>
      </c>
      <c r="AL47" s="42">
        <v>0.13600000000000001</v>
      </c>
      <c r="AM47" s="42">
        <v>0.13600000000000001</v>
      </c>
      <c r="AN47" s="42">
        <v>0.13600000000000001</v>
      </c>
      <c r="AO47" s="42">
        <v>0.13600000000000001</v>
      </c>
      <c r="AP47" s="42">
        <v>0.13600000000000001</v>
      </c>
      <c r="AQ47" s="44">
        <v>0.13600000000000001</v>
      </c>
      <c r="AR47" s="42">
        <v>0.13600000000000001</v>
      </c>
      <c r="AS47" s="42">
        <v>0.13600000000000001</v>
      </c>
      <c r="AT47" s="42">
        <v>0.13600000000000001</v>
      </c>
      <c r="AU47" s="42">
        <v>0.13600000000000001</v>
      </c>
      <c r="AV47" s="42">
        <v>0.13600000000000001</v>
      </c>
      <c r="AW47" s="42">
        <v>0.13600000000000001</v>
      </c>
      <c r="AX47" s="42">
        <v>0.13600000000000001</v>
      </c>
      <c r="AY47" s="42">
        <v>0.13600000000000001</v>
      </c>
    </row>
    <row r="48" spans="1:51" ht="16.5">
      <c r="A48" s="41"/>
      <c r="B48" s="41"/>
      <c r="C48" s="41"/>
      <c r="D48" s="41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97"/>
      <c r="AW48" s="4"/>
    </row>
    <row r="49" spans="1:51" ht="16.5">
      <c r="A49" s="40"/>
      <c r="B49" s="40"/>
      <c r="C49" s="40" t="s">
        <v>11</v>
      </c>
      <c r="D49" s="40"/>
      <c r="E49" s="120">
        <f t="shared" ref="E49:AJ49" si="38">SUM(E50:E51)</f>
        <v>714.98599999999999</v>
      </c>
      <c r="F49" s="120">
        <f t="shared" si="38"/>
        <v>729.91700000000003</v>
      </c>
      <c r="G49" s="120">
        <f t="shared" si="38"/>
        <v>780.322</v>
      </c>
      <c r="H49" s="120">
        <f t="shared" si="38"/>
        <v>800.57299999999998</v>
      </c>
      <c r="I49" s="100">
        <f t="shared" si="38"/>
        <v>573.02300000000002</v>
      </c>
      <c r="J49" s="120">
        <f t="shared" si="38"/>
        <v>572.89400000000001</v>
      </c>
      <c r="K49" s="120">
        <f t="shared" si="38"/>
        <v>559.57000000000005</v>
      </c>
      <c r="L49" s="120">
        <f t="shared" si="38"/>
        <v>538.16700000000003</v>
      </c>
      <c r="M49" s="100">
        <f t="shared" si="38"/>
        <v>522.36300000000006</v>
      </c>
      <c r="N49" s="120">
        <f t="shared" si="38"/>
        <v>545.28899999999999</v>
      </c>
      <c r="O49" s="19">
        <f t="shared" si="38"/>
        <v>502.60899999999998</v>
      </c>
      <c r="P49" s="120">
        <f t="shared" si="38"/>
        <v>497.81400000000002</v>
      </c>
      <c r="Q49" s="100">
        <f t="shared" si="38"/>
        <v>485.11199999999997</v>
      </c>
      <c r="R49" s="120">
        <f t="shared" si="38"/>
        <v>455.09100000000001</v>
      </c>
      <c r="S49" s="120">
        <f t="shared" si="38"/>
        <v>448.54300000000001</v>
      </c>
      <c r="T49" s="120">
        <f t="shared" si="38"/>
        <v>419.21600000000001</v>
      </c>
      <c r="U49" s="100">
        <f t="shared" si="38"/>
        <v>446.71100000000001</v>
      </c>
      <c r="V49" s="120">
        <f t="shared" si="38"/>
        <v>450.83699999999999</v>
      </c>
      <c r="W49" s="120">
        <f t="shared" si="38"/>
        <v>439.89499999999998</v>
      </c>
      <c r="X49" s="121">
        <f t="shared" si="38"/>
        <v>472.67200000000003</v>
      </c>
      <c r="Y49" s="121">
        <f t="shared" si="38"/>
        <v>463.83600000000001</v>
      </c>
      <c r="Z49" s="123">
        <f t="shared" si="38"/>
        <v>491.47300000000001</v>
      </c>
      <c r="AA49" s="121">
        <f t="shared" si="38"/>
        <v>490.23699999999997</v>
      </c>
      <c r="AB49" s="121">
        <f t="shared" si="38"/>
        <v>534.61500000000001</v>
      </c>
      <c r="AC49" s="123">
        <f t="shared" si="38"/>
        <v>494.19799999999998</v>
      </c>
      <c r="AD49" s="123">
        <f t="shared" si="38"/>
        <v>496.99</v>
      </c>
      <c r="AE49" s="121">
        <f t="shared" si="38"/>
        <v>448.21</v>
      </c>
      <c r="AF49" s="121">
        <f t="shared" si="38"/>
        <v>449.36</v>
      </c>
      <c r="AG49" s="123">
        <f t="shared" si="38"/>
        <v>433.48399999999998</v>
      </c>
      <c r="AH49" s="123">
        <f t="shared" si="38"/>
        <v>431.29700000000003</v>
      </c>
      <c r="AI49" s="121">
        <f t="shared" si="38"/>
        <v>421.89699999999999</v>
      </c>
      <c r="AJ49" s="121">
        <f t="shared" si="38"/>
        <v>415.78500000000003</v>
      </c>
      <c r="AK49" s="121">
        <f>SUM(AK50:AK51)</f>
        <v>392.09999999999997</v>
      </c>
      <c r="AL49" s="123">
        <f>SUM(AL50:AL51)</f>
        <v>389.35399999999998</v>
      </c>
      <c r="AM49" s="121">
        <f>SUM(AM50:AM51)</f>
        <v>357.88200000000001</v>
      </c>
      <c r="AN49" s="121">
        <f>SUM(AN50:AN51)</f>
        <v>358.13100000000003</v>
      </c>
      <c r="AO49" s="121">
        <f t="shared" ref="AO49:AP49" si="39">SUM(AO50:AO51)</f>
        <v>335.935</v>
      </c>
      <c r="AP49" s="121">
        <f t="shared" si="39"/>
        <v>346.70400000000001</v>
      </c>
      <c r="AQ49" s="123">
        <f t="shared" ref="AQ49:AY49" si="40">SUM(AQ50:AQ51)</f>
        <v>343.15100000000001</v>
      </c>
      <c r="AR49" s="121">
        <f t="shared" si="40"/>
        <v>339.37800000000004</v>
      </c>
      <c r="AS49" s="123">
        <f t="shared" si="40"/>
        <v>340.17100000000005</v>
      </c>
      <c r="AT49" s="123">
        <f t="shared" si="40"/>
        <v>331.22700000000003</v>
      </c>
      <c r="AU49" s="123">
        <f t="shared" si="40"/>
        <v>325.55399999999997</v>
      </c>
      <c r="AV49" s="123">
        <f t="shared" si="40"/>
        <v>308.13499999999999</v>
      </c>
      <c r="AW49" s="123">
        <f t="shared" si="40"/>
        <v>298.26300000000003</v>
      </c>
      <c r="AX49" s="123">
        <f t="shared" si="40"/>
        <v>295.97300000000001</v>
      </c>
      <c r="AY49" s="123">
        <f t="shared" si="40"/>
        <v>307.41800000000001</v>
      </c>
    </row>
    <row r="50" spans="1:51" ht="16.5">
      <c r="A50" s="2"/>
      <c r="B50" s="2"/>
      <c r="C50" s="2"/>
      <c r="D50" s="2" t="s">
        <v>81</v>
      </c>
      <c r="E50" s="42">
        <v>701.09299999999996</v>
      </c>
      <c r="F50" s="42">
        <v>716.20500000000004</v>
      </c>
      <c r="G50" s="42">
        <v>768.096</v>
      </c>
      <c r="H50" s="42">
        <v>787.82100000000003</v>
      </c>
      <c r="I50" s="42">
        <v>562.34900000000005</v>
      </c>
      <c r="J50" s="42">
        <v>562.17499999999995</v>
      </c>
      <c r="K50" s="42">
        <v>550.34100000000001</v>
      </c>
      <c r="L50" s="42">
        <v>529.54200000000003</v>
      </c>
      <c r="M50" s="42">
        <v>515.24800000000005</v>
      </c>
      <c r="N50" s="42">
        <v>537.79399999999998</v>
      </c>
      <c r="O50" s="42">
        <v>496.827</v>
      </c>
      <c r="P50" s="42">
        <v>492.17500000000001</v>
      </c>
      <c r="Q50" s="42">
        <v>480.76299999999998</v>
      </c>
      <c r="R50" s="42">
        <v>450.90800000000002</v>
      </c>
      <c r="S50" s="42">
        <v>444.47800000000001</v>
      </c>
      <c r="T50" s="42">
        <v>415.45800000000003</v>
      </c>
      <c r="U50" s="42">
        <v>442.93299999999999</v>
      </c>
      <c r="V50" s="42">
        <v>446.98500000000001</v>
      </c>
      <c r="W50" s="42">
        <v>435.85399999999998</v>
      </c>
      <c r="X50" s="42">
        <v>468.60300000000001</v>
      </c>
      <c r="Y50" s="42">
        <v>459.67500000000001</v>
      </c>
      <c r="Z50" s="42">
        <v>487.32600000000002</v>
      </c>
      <c r="AA50" s="42">
        <v>486.14699999999999</v>
      </c>
      <c r="AB50" s="42">
        <v>530.63300000000004</v>
      </c>
      <c r="AC50" s="42">
        <v>490.30799999999999</v>
      </c>
      <c r="AD50" s="42">
        <v>493.00799999999998</v>
      </c>
      <c r="AE50" s="42">
        <v>444.44</v>
      </c>
      <c r="AF50" s="42">
        <v>445.59500000000003</v>
      </c>
      <c r="AG50" s="42">
        <v>429.75099999999998</v>
      </c>
      <c r="AH50" s="42">
        <v>427.55900000000003</v>
      </c>
      <c r="AI50" s="42">
        <v>418.19200000000001</v>
      </c>
      <c r="AJ50" s="42">
        <v>412.02100000000002</v>
      </c>
      <c r="AK50" s="42">
        <v>388.4</v>
      </c>
      <c r="AL50" s="42">
        <v>385.72699999999998</v>
      </c>
      <c r="AM50" s="42">
        <v>354.36099999999999</v>
      </c>
      <c r="AN50" s="42">
        <v>354.61</v>
      </c>
      <c r="AO50" s="44">
        <v>332.42</v>
      </c>
      <c r="AP50" s="44">
        <v>342.983</v>
      </c>
      <c r="AQ50" s="44">
        <v>339.43700000000001</v>
      </c>
      <c r="AR50" s="42">
        <v>335.57100000000003</v>
      </c>
      <c r="AS50" s="42">
        <v>336.32600000000002</v>
      </c>
      <c r="AT50" s="42">
        <v>327.48</v>
      </c>
      <c r="AU50" s="42">
        <v>321.702</v>
      </c>
      <c r="AV50" s="42">
        <v>304.31</v>
      </c>
      <c r="AW50" s="42">
        <v>294.43200000000002</v>
      </c>
      <c r="AX50" s="42">
        <v>292.10700000000003</v>
      </c>
      <c r="AY50" s="42">
        <v>303.40300000000002</v>
      </c>
    </row>
    <row r="51" spans="1:51" ht="16.5">
      <c r="A51" s="2"/>
      <c r="B51" s="2"/>
      <c r="C51" s="2"/>
      <c r="D51" s="2" t="s">
        <v>82</v>
      </c>
      <c r="E51" s="42">
        <v>13.893000000000001</v>
      </c>
      <c r="F51" s="42">
        <v>13.712</v>
      </c>
      <c r="G51" s="42">
        <v>12.226000000000001</v>
      </c>
      <c r="H51" s="42">
        <v>12.752000000000001</v>
      </c>
      <c r="I51" s="42">
        <v>10.673999999999999</v>
      </c>
      <c r="J51" s="42">
        <v>10.718999999999999</v>
      </c>
      <c r="K51" s="42">
        <v>9.2289999999999992</v>
      </c>
      <c r="L51" s="42">
        <v>8.625</v>
      </c>
      <c r="M51" s="42">
        <v>7.1150000000000002</v>
      </c>
      <c r="N51" s="42">
        <v>7.4950000000000001</v>
      </c>
      <c r="O51" s="42">
        <v>5.782</v>
      </c>
      <c r="P51" s="42">
        <v>5.6390000000000002</v>
      </c>
      <c r="Q51" s="42">
        <v>4.3490000000000002</v>
      </c>
      <c r="R51" s="42">
        <v>4.1829999999999998</v>
      </c>
      <c r="S51" s="42">
        <v>4.0650000000000004</v>
      </c>
      <c r="T51" s="42">
        <v>3.758</v>
      </c>
      <c r="U51" s="42">
        <v>3.778</v>
      </c>
      <c r="V51" s="42">
        <v>3.8519999999999999</v>
      </c>
      <c r="W51" s="42">
        <v>4.0410000000000004</v>
      </c>
      <c r="X51" s="42">
        <v>4.069</v>
      </c>
      <c r="Y51" s="42">
        <v>4.1609999999999996</v>
      </c>
      <c r="Z51" s="42">
        <v>4.1470000000000002</v>
      </c>
      <c r="AA51" s="42">
        <v>4.09</v>
      </c>
      <c r="AB51" s="42">
        <v>3.9820000000000002</v>
      </c>
      <c r="AC51" s="42">
        <v>3.89</v>
      </c>
      <c r="AD51" s="42">
        <v>3.9820000000000002</v>
      </c>
      <c r="AE51" s="42">
        <v>3.77</v>
      </c>
      <c r="AF51" s="42">
        <v>3.7650000000000001</v>
      </c>
      <c r="AG51" s="42">
        <v>3.7330000000000001</v>
      </c>
      <c r="AH51" s="42">
        <v>3.738</v>
      </c>
      <c r="AI51" s="42">
        <v>3.7050000000000001</v>
      </c>
      <c r="AJ51" s="42">
        <v>3.7639999999999998</v>
      </c>
      <c r="AK51" s="42">
        <v>3.7</v>
      </c>
      <c r="AL51" s="42">
        <v>3.6269999999999998</v>
      </c>
      <c r="AM51" s="42">
        <v>3.5209999999999999</v>
      </c>
      <c r="AN51" s="42">
        <v>3.5209999999999999</v>
      </c>
      <c r="AO51" s="44">
        <v>3.5150000000000001</v>
      </c>
      <c r="AP51" s="44">
        <v>3.7210000000000001</v>
      </c>
      <c r="AQ51" s="44">
        <v>3.714</v>
      </c>
      <c r="AR51" s="44">
        <v>3.8069999999999999</v>
      </c>
      <c r="AS51" s="44">
        <v>3.8450000000000002</v>
      </c>
      <c r="AT51" s="42">
        <v>3.7469999999999999</v>
      </c>
      <c r="AU51" s="42">
        <v>3.8519999999999999</v>
      </c>
      <c r="AV51" s="42">
        <v>3.8250000000000002</v>
      </c>
      <c r="AW51" s="42">
        <v>3.831</v>
      </c>
      <c r="AX51" s="42">
        <v>3.8660000000000001</v>
      </c>
      <c r="AY51" s="42">
        <v>4.0149999999999997</v>
      </c>
    </row>
    <row r="52" spans="1:51" ht="16.5">
      <c r="A52" s="124" t="s">
        <v>39</v>
      </c>
      <c r="B52" s="103" t="s">
        <v>83</v>
      </c>
      <c r="C52" s="103"/>
      <c r="D52" s="103"/>
      <c r="E52" s="125">
        <f>SUM(E53:E54)</f>
        <v>4264.0758948020002</v>
      </c>
      <c r="F52" s="125">
        <f>SUM(F53:F54)</f>
        <v>4294.7063492846</v>
      </c>
      <c r="G52" s="125">
        <f>SUM(G53:G54)</f>
        <v>4569.9647892846006</v>
      </c>
      <c r="H52" s="38">
        <f t="shared" ref="H52:AY52" si="41">+H53+H54</f>
        <v>4351.3812710000002</v>
      </c>
      <c r="I52" s="38">
        <f t="shared" si="41"/>
        <v>4325.9415510000008</v>
      </c>
      <c r="J52" s="38">
        <f t="shared" si="41"/>
        <v>4503.0325750000002</v>
      </c>
      <c r="K52" s="38">
        <f t="shared" si="41"/>
        <v>4649.9120080000002</v>
      </c>
      <c r="L52" s="38">
        <f t="shared" si="41"/>
        <v>4412.8156078479997</v>
      </c>
      <c r="M52" s="38">
        <f t="shared" si="41"/>
        <v>6542.721772149529</v>
      </c>
      <c r="N52" s="38">
        <f t="shared" si="41"/>
        <v>6674.3703657759497</v>
      </c>
      <c r="O52" s="38">
        <f t="shared" si="41"/>
        <v>6860.2889447717598</v>
      </c>
      <c r="P52" s="38">
        <f t="shared" si="41"/>
        <v>1756.19939503</v>
      </c>
      <c r="Q52" s="38">
        <f t="shared" si="41"/>
        <v>922.9658935501302</v>
      </c>
      <c r="R52" s="38">
        <f t="shared" si="41"/>
        <v>7214.6193768922803</v>
      </c>
      <c r="S52" s="38">
        <f t="shared" si="41"/>
        <v>7409.8262214597798</v>
      </c>
      <c r="T52" s="38">
        <f t="shared" si="41"/>
        <v>8003.3151814897792</v>
      </c>
      <c r="U52" s="38">
        <f t="shared" si="41"/>
        <v>7932.0992033841203</v>
      </c>
      <c r="V52" s="38">
        <f t="shared" si="41"/>
        <v>8200.5481403582999</v>
      </c>
      <c r="W52" s="38">
        <f t="shared" si="41"/>
        <v>8545.4205688125803</v>
      </c>
      <c r="X52" s="38">
        <f t="shared" si="41"/>
        <v>8937.4976279903112</v>
      </c>
      <c r="Y52" s="38">
        <f t="shared" si="41"/>
        <v>8540.2523281342201</v>
      </c>
      <c r="Z52" s="38">
        <f t="shared" si="41"/>
        <v>8568.6613809971896</v>
      </c>
      <c r="AA52" s="38">
        <f t="shared" si="41"/>
        <v>8738.9458286695317</v>
      </c>
      <c r="AB52" s="38">
        <f t="shared" si="41"/>
        <v>9207.3258280800801</v>
      </c>
      <c r="AC52" s="38">
        <f t="shared" si="41"/>
        <v>9468.1534076995395</v>
      </c>
      <c r="AD52" s="38">
        <f t="shared" si="41"/>
        <v>9751.6262936322</v>
      </c>
      <c r="AE52" s="38">
        <f t="shared" si="41"/>
        <v>10019.651264536489</v>
      </c>
      <c r="AF52" s="38">
        <f t="shared" si="41"/>
        <v>10240.75315354532</v>
      </c>
      <c r="AG52" s="38">
        <f t="shared" si="41"/>
        <v>10626.65298458056</v>
      </c>
      <c r="AH52" s="38">
        <f t="shared" si="41"/>
        <v>10891.573245304831</v>
      </c>
      <c r="AI52" s="38">
        <f t="shared" si="41"/>
        <v>10989.122188669498</v>
      </c>
      <c r="AJ52" s="38">
        <f>AJ53+AJ54</f>
        <v>1408.81988463889</v>
      </c>
      <c r="AK52" s="38">
        <f t="shared" si="41"/>
        <v>2672.1610329281598</v>
      </c>
      <c r="AL52" s="38">
        <f t="shared" si="41"/>
        <v>2696.5511930778898</v>
      </c>
      <c r="AM52" s="38">
        <f t="shared" si="41"/>
        <v>2838.68275008412</v>
      </c>
      <c r="AN52" s="38">
        <f t="shared" si="41"/>
        <v>3183.9962056535906</v>
      </c>
      <c r="AO52" s="38">
        <f t="shared" si="41"/>
        <v>3030.5560955873002</v>
      </c>
      <c r="AP52" s="38">
        <f t="shared" si="41"/>
        <v>3119.9772142373004</v>
      </c>
      <c r="AQ52" s="38">
        <f t="shared" si="41"/>
        <v>3452.2527413872999</v>
      </c>
      <c r="AR52" s="38">
        <f t="shared" si="41"/>
        <v>3528.3424875431701</v>
      </c>
      <c r="AS52" s="38">
        <f t="shared" si="41"/>
        <v>3421.1235029934305</v>
      </c>
      <c r="AT52" s="38">
        <f t="shared" si="41"/>
        <v>3477.4591150397</v>
      </c>
      <c r="AU52" s="38">
        <f t="shared" si="41"/>
        <v>3521.8238397022092</v>
      </c>
      <c r="AV52" s="38">
        <f t="shared" si="41"/>
        <v>3570.7561882299697</v>
      </c>
      <c r="AW52" s="38">
        <f t="shared" si="41"/>
        <v>3755.4725006991407</v>
      </c>
      <c r="AX52" s="38">
        <f t="shared" si="41"/>
        <v>3857.9663373782896</v>
      </c>
      <c r="AY52" s="38">
        <f t="shared" si="41"/>
        <v>3874.9314905996798</v>
      </c>
    </row>
    <row r="53" spans="1:51" ht="16.5">
      <c r="A53" s="2"/>
      <c r="B53" s="2"/>
      <c r="C53" s="2" t="s">
        <v>10</v>
      </c>
      <c r="D53" s="2"/>
      <c r="E53" s="3">
        <f>[1]tab1!E11+[1]tab1!E33+[1]tab1!E51+[1]tab2!E27</f>
        <v>926.53211480200002</v>
      </c>
      <c r="F53" s="3">
        <f>[1]tab1!F11+[1]tab1!F33+[1]tab1!F51+[1]tab2!F27</f>
        <v>923.53031928459995</v>
      </c>
      <c r="G53" s="3">
        <f>[1]tab1!G11+[1]tab1!G33+[1]tab1!G51+[1]tab2!G27</f>
        <v>985.88330928460005</v>
      </c>
      <c r="H53" s="3">
        <f>[1]tab1!H11+[1]tab1!H33+[1]tab1!H51+[1]tab2!H27</f>
        <v>907.89579100000014</v>
      </c>
      <c r="I53" s="3">
        <f>[1]tab1!I11+[1]tab1!I33+[1]tab1!I51+[1]tab2!I27</f>
        <v>840.132071</v>
      </c>
      <c r="J53" s="3">
        <f>[1]tab1!J11+[1]tab1!J33+[1]tab1!J51+[1]tab2!J27</f>
        <v>991.96908500000006</v>
      </c>
      <c r="K53" s="3">
        <f>[1]tab1!K11+[1]tab1!K33+[1]tab1!K51+[1]tab2!K27</f>
        <v>1040.4288480000002</v>
      </c>
      <c r="L53" s="3">
        <f>[1]tab1!L11+[1]tab1!L33+[1]tab1!L51+[1]tab2!L27</f>
        <v>967.82642784799987</v>
      </c>
      <c r="M53" s="3">
        <f>[1]tab1!M63+[1]tab2!M27</f>
        <v>715.68017214952988</v>
      </c>
      <c r="N53" s="3">
        <f>[1]tab1!N63+[1]tab2!N27</f>
        <v>700.94736577594995</v>
      </c>
      <c r="O53" s="3">
        <f>[1]tab1!O63+[1]tab2!O27</f>
        <v>749.78994477175991</v>
      </c>
      <c r="P53" s="3">
        <v>1747.59710503</v>
      </c>
      <c r="Q53" s="3">
        <f>[1]tab1!Q63+[1]tab2!Q27</f>
        <v>914.45051355013015</v>
      </c>
      <c r="R53" s="3">
        <f>[1]tab1!R63+[1]tab2!R27</f>
        <v>882.02137689228005</v>
      </c>
      <c r="S53" s="3">
        <f>[1]tab1!S63+[1]tab2!S27</f>
        <v>903.45422145978</v>
      </c>
      <c r="T53" s="3">
        <f>[1]tab1!T63+[1]tab2!T27</f>
        <v>1110.5941814897799</v>
      </c>
      <c r="U53" s="3">
        <f>[1]tab1!U63+[1]tab2!U27</f>
        <v>1133.2737033841202</v>
      </c>
      <c r="V53" s="3">
        <f>[1]tab1!V63+[1]tab2!V27</f>
        <v>1169.4815403583002</v>
      </c>
      <c r="W53" s="3">
        <f>[1]tab1!W63+[1]tab2!W27</f>
        <v>1259.2485688125803</v>
      </c>
      <c r="X53" s="3">
        <f>[1]tab1!X63+[1]tab2!X27</f>
        <v>1193.8768279903099</v>
      </c>
      <c r="Y53" s="3">
        <f>[1]tab1!Y63+[1]tab2!Y27</f>
        <v>1029.3551281342202</v>
      </c>
      <c r="Z53" s="3">
        <f>[1]tab1!Z63+[1]tab2!Z27</f>
        <v>1018.6515809971899</v>
      </c>
      <c r="AA53" s="3">
        <f>[1]tab1!AA63+[1]tab2!AA27</f>
        <v>1170.7815286695302</v>
      </c>
      <c r="AB53" s="3">
        <f>[1]tab1!AB63+[1]tab2!AB27</f>
        <v>1149.31732808008</v>
      </c>
      <c r="AC53" s="3">
        <f>[1]tab1!AC63+[1]tab2!AC27</f>
        <v>1164.6382076995401</v>
      </c>
      <c r="AD53" s="3">
        <f>[1]tab1!AD63+[1]tab2!AD27</f>
        <v>1183.0204936322</v>
      </c>
      <c r="AE53" s="3">
        <f>[1]tab1!AE63+[1]tab2!AE27</f>
        <v>1240.63096453649</v>
      </c>
      <c r="AF53" s="3">
        <f>[1]tab1!AF63+[1]tab2!AF27</f>
        <v>1212.03845354532</v>
      </c>
      <c r="AG53" s="3">
        <f>[1]tab1!AG63+[1]tab2!AG27</f>
        <v>1399.4996845805599</v>
      </c>
      <c r="AH53" s="3">
        <f>[1]tab1!AH63+[1]tab2!AH27</f>
        <v>1478.30204530483</v>
      </c>
      <c r="AI53" s="3">
        <f>[1]tab1!AI63+[1]tab2!AI27</f>
        <v>1423.0618886694997</v>
      </c>
      <c r="AJ53" s="3">
        <f>[1]tab1!AJ63+[1]tab2!AJ27</f>
        <v>1299.7957846388899</v>
      </c>
      <c r="AK53" s="3">
        <f>[2]tab1!AK61+[2]tab2!AK26</f>
        <v>2621.5686329281598</v>
      </c>
      <c r="AL53" s="3">
        <f>[2]tab1!AL61+[2]tab2!AL26</f>
        <v>2643.6372930778898</v>
      </c>
      <c r="AM53" s="3">
        <f>[2]tab1!AM61+[2]tab2!AM26</f>
        <v>2784.1815500841199</v>
      </c>
      <c r="AN53" s="3">
        <f>[2]tab1!AN61+[2]tab2!AN26</f>
        <v>3052.5946056535904</v>
      </c>
      <c r="AO53" s="3">
        <f>[2]tab1!AO61+[2]tab2!AO26</f>
        <v>2898.0622955873</v>
      </c>
      <c r="AP53" s="3">
        <f>[2]tab1!AP61+[2]tab2!AP26</f>
        <v>2978.3684842373004</v>
      </c>
      <c r="AQ53" s="3">
        <f>[2]tab1!AQ61+[2]tab2!AQ26</f>
        <v>3308.1108413872998</v>
      </c>
      <c r="AR53" s="3">
        <f>[2]tab1!AR61+[2]tab2!AR26</f>
        <v>3378.8570875431701</v>
      </c>
      <c r="AS53" s="3">
        <f>[2]tab1!AS61+[2]tab2!AS26</f>
        <v>3270.1397129934303</v>
      </c>
      <c r="AT53" s="3">
        <f>[2]tab1!AT61+[2]tab2!AT26</f>
        <v>3327.4844150397003</v>
      </c>
      <c r="AU53" s="3">
        <f>[2]tab1!AU61+[2]tab2!AU26</f>
        <v>3366.8862097022093</v>
      </c>
      <c r="AV53" s="3">
        <f>[2]tab1!AV61+[2]tab2!AV26</f>
        <v>3414.4383582299697</v>
      </c>
      <c r="AW53" s="97">
        <f>'tab1 lvl'!AW61+AW26</f>
        <v>3597.5082006991406</v>
      </c>
      <c r="AX53" s="97">
        <f>'tab1 lvl'!AX61+AX26</f>
        <v>3696.0514373782898</v>
      </c>
      <c r="AY53" s="97">
        <f>'tab1 lvl'!AY61+AY26</f>
        <v>3707.1165105996797</v>
      </c>
    </row>
    <row r="54" spans="1:51" ht="16.5">
      <c r="A54" s="2"/>
      <c r="B54" s="2"/>
      <c r="C54" s="2" t="s">
        <v>11</v>
      </c>
      <c r="D54" s="2"/>
      <c r="E54" s="3">
        <f>[1]tab1!E12+[1]tab1!E55+[1]tab2!E38</f>
        <v>3337.54378</v>
      </c>
      <c r="F54" s="3">
        <f>[1]tab1!F12+[1]tab1!F55+[1]tab2!F38</f>
        <v>3371.1760300000001</v>
      </c>
      <c r="G54" s="3">
        <f>[1]tab1!G12+[1]tab1!G55+[1]tab2!G38</f>
        <v>3584.0814800000003</v>
      </c>
      <c r="H54" s="3">
        <f>[1]tab1!H12+[1]tab1!H55+[1]tab2!H38</f>
        <v>3443.4854799999998</v>
      </c>
      <c r="I54" s="3">
        <f>[1]tab1!I12+[1]tab1!I55+[1]tab2!I38</f>
        <v>3485.8094800000008</v>
      </c>
      <c r="J54" s="3">
        <f>[1]tab1!J12+[1]tab1!J55+[1]tab2!J38</f>
        <v>3511.06349</v>
      </c>
      <c r="K54" s="3">
        <f>[1]tab1!K12+[1]tab1!K55+[1]tab2!K38</f>
        <v>3609.4831599999998</v>
      </c>
      <c r="L54" s="3">
        <f>[1]tab1!L12+[1]tab1!L55+[1]tab2!L38</f>
        <v>3444.98918</v>
      </c>
      <c r="M54" s="3">
        <f>[1]tab1!M64+[1]tab2!M38</f>
        <v>5827.0415999999996</v>
      </c>
      <c r="N54" s="3">
        <f>[1]tab1!N64+[1]tab2!N38</f>
        <v>5973.4229999999998</v>
      </c>
      <c r="O54" s="3">
        <f>[1]tab1!O64+[1]tab2!O38</f>
        <v>6110.4989999999998</v>
      </c>
      <c r="P54" s="3">
        <v>8.60229</v>
      </c>
      <c r="Q54" s="3">
        <v>8.5153800000000004</v>
      </c>
      <c r="R54" s="3">
        <f>[1]tab1!R64+[1]tab2!R38</f>
        <v>6332.598</v>
      </c>
      <c r="S54" s="3">
        <f>[1]tab1!S64+[1]tab2!S38</f>
        <v>6506.3719999999994</v>
      </c>
      <c r="T54" s="3">
        <f>[1]tab1!T64+[1]tab2!T38</f>
        <v>6892.7209999999995</v>
      </c>
      <c r="U54" s="3">
        <f>[1]tab1!U64+[1]tab2!U38</f>
        <v>6798.8254999999999</v>
      </c>
      <c r="V54" s="3">
        <f>[1]tab1!V64+[1]tab2!V38</f>
        <v>7031.0666000000001</v>
      </c>
      <c r="W54" s="3">
        <f>[1]tab1!W64+[1]tab2!W38</f>
        <v>7286.1719999999996</v>
      </c>
      <c r="X54" s="3">
        <f>[1]tab1!X64+[1]tab2!X38</f>
        <v>7743.6208000000006</v>
      </c>
      <c r="Y54" s="3">
        <f>[1]tab1!Y64+[1]tab2!Y38</f>
        <v>7510.8972000000003</v>
      </c>
      <c r="Z54" s="3">
        <f>[1]tab1!Z64+[1]tab2!Z38</f>
        <v>7550.0097999999998</v>
      </c>
      <c r="AA54" s="3">
        <f>[1]tab1!AA64+[1]tab2!AA38</f>
        <v>7568.1643000000013</v>
      </c>
      <c r="AB54" s="3">
        <f>[1]tab1!AB64+[1]tab2!AB38</f>
        <v>8058.0084999999999</v>
      </c>
      <c r="AC54" s="3">
        <f>[1]tab1!AC64+[1]tab2!AC38</f>
        <v>8303.5151999999998</v>
      </c>
      <c r="AD54" s="3">
        <f>[1]tab1!AD64+[1]tab2!AD38</f>
        <v>8568.6057999999994</v>
      </c>
      <c r="AE54" s="3">
        <f>[1]tab1!AE64+[1]tab2!AE38</f>
        <v>8779.0203000000001</v>
      </c>
      <c r="AF54" s="3">
        <f>[1]tab1!AF64+[1]tab2!AF38</f>
        <v>9028.7147000000004</v>
      </c>
      <c r="AG54" s="3">
        <f>[1]tab1!AG64+[1]tab2!AG38</f>
        <v>9227.1532999999999</v>
      </c>
      <c r="AH54" s="3">
        <f>[1]tab1!AH64+[1]tab2!AH38</f>
        <v>9413.271200000001</v>
      </c>
      <c r="AI54" s="3">
        <f>[1]tab1!AI64+[1]tab2!AI38</f>
        <v>9566.0602999999992</v>
      </c>
      <c r="AJ54" s="3">
        <f>[2]tab1!AJ62+[2]tab2!AJ37</f>
        <v>109.0241</v>
      </c>
      <c r="AK54" s="3">
        <f>[2]tab1!AK62+[2]tab2!AK37</f>
        <v>50.592400000000005</v>
      </c>
      <c r="AL54" s="3">
        <f>[2]tab1!AL62+[2]tab2!AL37</f>
        <v>52.913899999999998</v>
      </c>
      <c r="AM54" s="3">
        <f>[2]tab1!AM62+[2]tab2!AM37</f>
        <v>54.501200000000004</v>
      </c>
      <c r="AN54" s="3">
        <f>[2]tab1!AN62+[2]tab2!AN37</f>
        <v>131.4016</v>
      </c>
      <c r="AO54" s="3">
        <f>[2]tab1!AO62+[2]tab2!AO37</f>
        <v>132.49379999999999</v>
      </c>
      <c r="AP54" s="3">
        <f>[2]tab1!AP62+[2]tab2!AP37</f>
        <v>141.60873000000001</v>
      </c>
      <c r="AQ54" s="3">
        <f>[2]tab1!AQ62+[2]tab2!AQ37</f>
        <v>144.14190000000002</v>
      </c>
      <c r="AR54" s="3">
        <f>[2]tab1!AR62+[2]tab2!AR37</f>
        <v>149.4854</v>
      </c>
      <c r="AS54" s="3">
        <f>[2]tab1!AS62+[2]tab2!AS37</f>
        <v>150.98379</v>
      </c>
      <c r="AT54" s="3">
        <f>[2]tab1!AT62+[2]tab2!AT37</f>
        <v>149.97469999999998</v>
      </c>
      <c r="AU54" s="3">
        <f>[2]tab1!AU62+[2]tab2!AU37</f>
        <v>154.93763000000001</v>
      </c>
      <c r="AV54" s="3">
        <f>[2]tab1!AV62+[2]tab2!AV37</f>
        <v>156.31783000000001</v>
      </c>
      <c r="AW54" s="145">
        <f>'tab1 lvl'!AW62+'tab2 lvl'!AW37</f>
        <v>157.96429999999998</v>
      </c>
      <c r="AX54" s="145">
        <f>'tab1 lvl'!AX62+'tab2 lvl'!AX37</f>
        <v>161.91489999999999</v>
      </c>
      <c r="AY54" s="145">
        <f>'tab1 lvl'!AY62+'tab2 lvl'!AY37</f>
        <v>167.81497999999999</v>
      </c>
    </row>
    <row r="55" spans="1:51" ht="16.5">
      <c r="A55" s="71" t="s">
        <v>39</v>
      </c>
      <c r="B55" s="72" t="s">
        <v>41</v>
      </c>
      <c r="C55" s="72"/>
      <c r="D55" s="72"/>
      <c r="E55" s="73">
        <v>4667.75</v>
      </c>
      <c r="F55" s="73">
        <v>4810.6080000000002</v>
      </c>
      <c r="G55" s="73">
        <v>4954.3029999999999</v>
      </c>
      <c r="H55" s="73">
        <v>5120.4350000000004</v>
      </c>
      <c r="I55" s="73">
        <v>5241.6769999999997</v>
      </c>
      <c r="J55" s="73">
        <v>5386.2380000000003</v>
      </c>
      <c r="K55" s="73">
        <v>5519.1279999999997</v>
      </c>
      <c r="L55" s="73">
        <v>5677.75</v>
      </c>
      <c r="M55" s="74">
        <v>5826.0119999999997</v>
      </c>
      <c r="N55" s="74">
        <v>5973.4229999999998</v>
      </c>
      <c r="O55" s="74">
        <v>6110.4979999999996</v>
      </c>
      <c r="P55" s="75">
        <v>6271.1570000000002</v>
      </c>
      <c r="Q55" s="76">
        <v>6406.2060000000001</v>
      </c>
      <c r="R55" s="77">
        <v>6568.2460000000001</v>
      </c>
      <c r="S55" s="77">
        <v>6705.5640000000003</v>
      </c>
      <c r="T55" s="76">
        <v>6892.7209999999995</v>
      </c>
      <c r="U55" s="73">
        <v>7033.0969999999998</v>
      </c>
      <c r="V55" s="77">
        <v>7258.03</v>
      </c>
      <c r="W55" s="77">
        <v>7516.51</v>
      </c>
      <c r="X55" s="76">
        <v>7720.9030000000002</v>
      </c>
      <c r="Y55" s="76">
        <v>7815.4279999999999</v>
      </c>
      <c r="Z55" s="76">
        <v>7868.1819999999998</v>
      </c>
      <c r="AA55" s="78">
        <v>7895.9750000000004</v>
      </c>
      <c r="AB55" s="74">
        <v>8026.143</v>
      </c>
      <c r="AC55" s="76">
        <f>1968.888+1952.87+2295.828+2050.544</f>
        <v>8268.1299999999992</v>
      </c>
      <c r="AD55" s="74">
        <v>8545</v>
      </c>
      <c r="AE55" s="74">
        <v>8769.7000000000007</v>
      </c>
      <c r="AF55" s="74">
        <v>9003.48</v>
      </c>
      <c r="AG55" s="76">
        <v>9193.2309999999998</v>
      </c>
      <c r="AH55" s="76">
        <v>9372.5040000000008</v>
      </c>
      <c r="AI55" s="78">
        <v>9523.0339999999997</v>
      </c>
      <c r="AJ55" s="78">
        <v>9708.3330000000005</v>
      </c>
      <c r="AK55" s="76">
        <f>2425.07+2328.064+2714.904+2414.013</f>
        <v>9882.0509999999995</v>
      </c>
      <c r="AL55" s="76">
        <f>2328.064+2714.904+2414.013+2618.851</f>
        <v>10075.832</v>
      </c>
      <c r="AM55" s="78">
        <f>2714.904+2414.013+2618.851+2555.834</f>
        <v>10303.601999999999</v>
      </c>
      <c r="AN55" s="78">
        <f>2414.013+2618.851+2555.834+2972.391</f>
        <v>10561.089</v>
      </c>
      <c r="AO55" s="76">
        <f>2618.851+2555.834+2972.391+2636.549</f>
        <v>10783.625</v>
      </c>
      <c r="AP55" s="76">
        <f>2555.834+2972.391+2636.549+2851.672</f>
        <v>11016.446</v>
      </c>
      <c r="AQ55" s="76">
        <f>2972.391+2636.549+2851.672+2797.523</f>
        <v>11258.135000000002</v>
      </c>
      <c r="AR55" s="78">
        <v>11542.286</v>
      </c>
      <c r="AS55" s="78">
        <f>2851.672+2797.523+3256.542+2879.481</f>
        <v>11785.217999999999</v>
      </c>
      <c r="AT55" s="76">
        <f>2797.523+3256.542+2879.481+3141.857</f>
        <v>12075.403</v>
      </c>
      <c r="AU55" s="79">
        <f>3256.542+2879.481+3141.857+3046.549</f>
        <v>12324.429</v>
      </c>
      <c r="AV55" s="76">
        <v>12642.736000000001</v>
      </c>
      <c r="AW55" s="76">
        <f>'tab1 lvl'!AW63</f>
        <v>12795.2215682675</v>
      </c>
      <c r="AX55" s="76">
        <f>'tab1 lvl'!AX63</f>
        <v>12965.24</v>
      </c>
      <c r="AY55" s="76">
        <f>'tab1 lvl'!AY63</f>
        <v>13099.962000000001</v>
      </c>
    </row>
    <row r="56" spans="1:51" ht="16.5">
      <c r="A56" s="80" t="s">
        <v>42</v>
      </c>
      <c r="B56" s="80"/>
      <c r="C56" s="80"/>
      <c r="D56" s="80"/>
      <c r="E56" s="2"/>
      <c r="F56" s="2"/>
      <c r="G56" s="2"/>
      <c r="H56" s="2"/>
      <c r="I56" s="2"/>
      <c r="J56" s="2"/>
      <c r="K56" s="126"/>
      <c r="L56" s="126"/>
      <c r="M56" s="3"/>
      <c r="N56" s="3"/>
      <c r="O56" s="3"/>
      <c r="P56" s="3"/>
      <c r="Q56" s="96"/>
      <c r="R56" s="96"/>
      <c r="S56" s="96"/>
      <c r="T56" s="96"/>
      <c r="U56" s="96"/>
      <c r="V56" s="96"/>
      <c r="W56" s="96"/>
      <c r="X56" s="3"/>
      <c r="Y56" s="3"/>
      <c r="Z56" s="3"/>
      <c r="AA56" s="3"/>
      <c r="AB56" s="2"/>
      <c r="AC56" s="3"/>
      <c r="AD56" s="3"/>
      <c r="AE56" s="3"/>
      <c r="AF56" s="3"/>
      <c r="AG56" s="3"/>
      <c r="AH56" s="3"/>
      <c r="AI56" s="3"/>
      <c r="AJ56" s="3"/>
      <c r="AK56" s="2"/>
      <c r="AL56" s="2"/>
      <c r="AM56" s="2"/>
      <c r="AN56" s="2"/>
      <c r="AO56" s="4"/>
      <c r="AP56" s="4"/>
      <c r="AQ56" s="4"/>
      <c r="AR56" s="4"/>
      <c r="AS56" s="4"/>
      <c r="AT56" s="4"/>
      <c r="AU56" s="4"/>
      <c r="AV56" s="4"/>
      <c r="AW56" s="4"/>
    </row>
    <row r="57" spans="1:51" ht="16.5">
      <c r="A57" s="2" t="s">
        <v>43</v>
      </c>
      <c r="B57" s="2" t="s">
        <v>84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3"/>
      <c r="O57" s="3"/>
      <c r="P57" s="3"/>
      <c r="Q57" s="96"/>
      <c r="R57" s="96"/>
      <c r="S57" s="96"/>
      <c r="T57" s="96"/>
      <c r="U57" s="96"/>
      <c r="V57" s="96"/>
      <c r="W57" s="96"/>
      <c r="X57" s="3"/>
      <c r="Y57" s="3"/>
      <c r="Z57" s="3"/>
      <c r="AA57" s="3"/>
      <c r="AB57" s="2"/>
      <c r="AC57" s="3"/>
      <c r="AD57" s="3"/>
      <c r="AE57" s="3"/>
      <c r="AF57" s="3"/>
      <c r="AG57" s="3"/>
      <c r="AH57" s="3"/>
      <c r="AI57" s="3"/>
      <c r="AJ57" s="3"/>
      <c r="AK57" s="2"/>
      <c r="AL57" s="2"/>
      <c r="AM57" s="2"/>
      <c r="AN57" s="2"/>
      <c r="AO57" s="4"/>
      <c r="AP57" s="4"/>
      <c r="AQ57" s="4"/>
      <c r="AR57" s="4"/>
      <c r="AS57" s="4"/>
      <c r="AT57" s="4"/>
      <c r="AU57" s="4"/>
      <c r="AV57" s="4"/>
      <c r="AW57" s="4"/>
    </row>
    <row r="58" spans="1:51" ht="16.5">
      <c r="A58" s="2"/>
      <c r="B58" s="2" t="s">
        <v>85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  <c r="Q58" s="96"/>
      <c r="R58" s="96"/>
      <c r="S58" s="96"/>
      <c r="T58" s="96"/>
      <c r="U58" s="96"/>
      <c r="V58" s="96"/>
      <c r="W58" s="96"/>
      <c r="X58" s="3"/>
      <c r="Y58" s="3"/>
      <c r="Z58" s="3"/>
      <c r="AA58" s="3"/>
      <c r="AB58" s="2"/>
      <c r="AC58" s="3"/>
      <c r="AD58" s="3"/>
      <c r="AE58" s="3"/>
      <c r="AF58" s="3"/>
      <c r="AG58" s="3"/>
      <c r="AH58" s="3"/>
      <c r="AI58" s="3"/>
      <c r="AJ58" s="3"/>
      <c r="AK58" s="2"/>
      <c r="AL58" s="2"/>
      <c r="AM58" s="2"/>
      <c r="AN58" s="2"/>
      <c r="AO58" s="4"/>
      <c r="AP58" s="4"/>
      <c r="AQ58" s="4"/>
      <c r="AR58" s="4"/>
      <c r="AS58" s="4"/>
      <c r="AT58" s="4"/>
      <c r="AU58" s="4"/>
      <c r="AV58" s="4"/>
      <c r="AW58" s="4"/>
    </row>
    <row r="59" spans="1:51" ht="16.5">
      <c r="A59" s="2" t="s">
        <v>46</v>
      </c>
      <c r="B59" s="2" t="s">
        <v>86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3"/>
      <c r="O59" s="3"/>
      <c r="P59" s="3"/>
      <c r="Q59" s="96"/>
      <c r="R59" s="96"/>
      <c r="S59" s="96"/>
      <c r="T59" s="96"/>
      <c r="U59" s="96"/>
      <c r="V59" s="96"/>
      <c r="W59" s="96"/>
      <c r="X59" s="3"/>
      <c r="Y59" s="3"/>
      <c r="Z59" s="3"/>
      <c r="AA59" s="3"/>
      <c r="AB59" s="2"/>
      <c r="AC59" s="3"/>
      <c r="AD59" s="3"/>
      <c r="AE59" s="3"/>
      <c r="AF59" s="3"/>
      <c r="AG59" s="3"/>
      <c r="AH59" s="3"/>
      <c r="AI59" s="3"/>
      <c r="AJ59" s="3"/>
      <c r="AK59" s="2"/>
      <c r="AL59" s="2"/>
      <c r="AM59" s="2"/>
      <c r="AN59" s="2"/>
      <c r="AO59" s="4"/>
      <c r="AP59" s="4"/>
      <c r="AQ59" s="4"/>
      <c r="AR59" s="4"/>
      <c r="AS59" s="4"/>
      <c r="AT59" s="4"/>
      <c r="AU59" s="4"/>
      <c r="AV59" s="4"/>
      <c r="AW59" s="4"/>
    </row>
    <row r="60" spans="1:51" ht="16.5">
      <c r="A60" s="2"/>
      <c r="B60" s="2" t="s">
        <v>87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3"/>
      <c r="O60" s="3"/>
      <c r="P60" s="3"/>
      <c r="Q60" s="96"/>
      <c r="R60" s="96"/>
      <c r="S60" s="96"/>
      <c r="T60" s="96"/>
      <c r="U60" s="96"/>
      <c r="V60" s="96"/>
      <c r="W60" s="96"/>
      <c r="X60" s="3"/>
      <c r="Y60" s="3"/>
      <c r="Z60" s="3"/>
      <c r="AA60" s="3"/>
      <c r="AB60" s="2"/>
      <c r="AC60" s="3"/>
      <c r="AD60" s="3"/>
      <c r="AE60" s="3"/>
      <c r="AF60" s="3"/>
      <c r="AG60" s="3"/>
      <c r="AH60" s="3"/>
      <c r="AI60" s="3"/>
      <c r="AJ60" s="3"/>
      <c r="AK60" s="2"/>
      <c r="AL60" s="2"/>
      <c r="AM60" s="2"/>
      <c r="AN60" s="2"/>
      <c r="AO60" s="4"/>
      <c r="AP60" s="4"/>
      <c r="AQ60" s="4"/>
      <c r="AR60" s="4"/>
      <c r="AS60" s="4"/>
      <c r="AT60" s="4"/>
      <c r="AU60" s="4"/>
      <c r="AV60" s="4"/>
      <c r="AW60" s="4"/>
    </row>
  </sheetData>
  <mergeCells count="13">
    <mergeCell ref="Y3:AB3"/>
    <mergeCell ref="E3:H3"/>
    <mergeCell ref="I3:L3"/>
    <mergeCell ref="M3:P3"/>
    <mergeCell ref="Q3:T3"/>
    <mergeCell ref="U3:X3"/>
    <mergeCell ref="BA3:BD3"/>
    <mergeCell ref="AC3:AF3"/>
    <mergeCell ref="AG3:AJ3"/>
    <mergeCell ref="AK3:AN3"/>
    <mergeCell ref="AO3:AR3"/>
    <mergeCell ref="AS3:AV3"/>
    <mergeCell ref="AW3:AZ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5"/>
  <sheetViews>
    <sheetView topLeftCell="AQ28" workbookViewId="0">
      <selection activeCell="AY37" sqref="AY37"/>
    </sheetView>
  </sheetViews>
  <sheetFormatPr defaultRowHeight="15"/>
  <cols>
    <col min="1" max="3" width="2.42578125" customWidth="1"/>
    <col min="4" max="4" width="51" customWidth="1"/>
    <col min="5" max="28" width="0" hidden="1" customWidth="1"/>
    <col min="52" max="56" width="0" hidden="1" customWidth="1"/>
  </cols>
  <sheetData>
    <row r="1" spans="1:56" ht="14.1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56" ht="14.1" customHeight="1">
      <c r="A2" s="5" t="s">
        <v>1</v>
      </c>
      <c r="B2" s="6"/>
      <c r="C2" s="6"/>
      <c r="D2" s="6"/>
      <c r="E2" s="2"/>
      <c r="F2" s="2"/>
      <c r="G2" s="2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4"/>
      <c r="AE2" s="4"/>
      <c r="AF2" s="2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56" ht="16.5">
      <c r="A3" s="7"/>
      <c r="B3" s="8"/>
      <c r="C3" s="8"/>
      <c r="D3" s="8"/>
      <c r="E3" s="147">
        <v>2004</v>
      </c>
      <c r="F3" s="148"/>
      <c r="G3" s="148"/>
      <c r="H3" s="148"/>
      <c r="I3" s="147">
        <v>2005</v>
      </c>
      <c r="J3" s="147"/>
      <c r="K3" s="147"/>
      <c r="L3" s="147"/>
      <c r="M3" s="147">
        <v>2006</v>
      </c>
      <c r="N3" s="147"/>
      <c r="O3" s="147"/>
      <c r="P3" s="147"/>
      <c r="Q3" s="147">
        <v>2007</v>
      </c>
      <c r="R3" s="147"/>
      <c r="S3" s="147"/>
      <c r="T3" s="147"/>
      <c r="U3" s="147">
        <v>2008</v>
      </c>
      <c r="V3" s="147"/>
      <c r="W3" s="147"/>
      <c r="X3" s="147"/>
      <c r="Y3" s="147">
        <v>2009</v>
      </c>
      <c r="Z3" s="147"/>
      <c r="AA3" s="147"/>
      <c r="AB3" s="147"/>
      <c r="AC3" s="147">
        <v>2010</v>
      </c>
      <c r="AD3" s="147"/>
      <c r="AE3" s="147"/>
      <c r="AF3" s="147"/>
      <c r="AG3" s="147">
        <v>2011</v>
      </c>
      <c r="AH3" s="147"/>
      <c r="AI3" s="147"/>
      <c r="AJ3" s="147"/>
      <c r="AK3" s="147">
        <v>2012</v>
      </c>
      <c r="AL3" s="147"/>
      <c r="AM3" s="147"/>
      <c r="AN3" s="147"/>
      <c r="AO3" s="147">
        <v>2013</v>
      </c>
      <c r="AP3" s="147"/>
      <c r="AQ3" s="147"/>
      <c r="AR3" s="147"/>
      <c r="AS3" s="147">
        <v>2014</v>
      </c>
      <c r="AT3" s="147"/>
      <c r="AU3" s="147"/>
      <c r="AV3" s="147"/>
      <c r="AW3" s="147">
        <v>2015</v>
      </c>
      <c r="AX3" s="147"/>
      <c r="AY3" s="147"/>
      <c r="AZ3" s="147"/>
      <c r="BA3" s="147">
        <v>2016</v>
      </c>
      <c r="BB3" s="147"/>
      <c r="BC3" s="147"/>
      <c r="BD3" s="147"/>
    </row>
    <row r="4" spans="1:56" s="127" customFormat="1" ht="16.5">
      <c r="A4" s="10"/>
      <c r="B4" s="10"/>
      <c r="C4" s="10"/>
      <c r="D4" s="10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4</v>
      </c>
      <c r="L4" s="10" t="s">
        <v>5</v>
      </c>
      <c r="M4" s="10" t="s">
        <v>6</v>
      </c>
      <c r="N4" s="10" t="s">
        <v>7</v>
      </c>
      <c r="O4" s="10" t="s">
        <v>4</v>
      </c>
      <c r="P4" s="10" t="s">
        <v>5</v>
      </c>
      <c r="Q4" s="10" t="s">
        <v>6</v>
      </c>
      <c r="R4" s="10" t="s">
        <v>7</v>
      </c>
      <c r="S4" s="10" t="s">
        <v>4</v>
      </c>
      <c r="T4" s="10" t="s">
        <v>5</v>
      </c>
      <c r="U4" s="10" t="s">
        <v>6</v>
      </c>
      <c r="V4" s="10" t="s">
        <v>7</v>
      </c>
      <c r="W4" s="10" t="s">
        <v>4</v>
      </c>
      <c r="X4" s="10" t="s">
        <v>5</v>
      </c>
      <c r="Y4" s="10" t="s">
        <v>6</v>
      </c>
      <c r="Z4" s="10" t="s">
        <v>7</v>
      </c>
      <c r="AA4" s="10" t="s">
        <v>4</v>
      </c>
      <c r="AB4" s="10" t="s">
        <v>5</v>
      </c>
      <c r="AC4" s="10" t="s">
        <v>6</v>
      </c>
      <c r="AD4" s="10" t="s">
        <v>7</v>
      </c>
      <c r="AE4" s="10" t="s">
        <v>4</v>
      </c>
      <c r="AF4" s="10" t="s">
        <v>5</v>
      </c>
      <c r="AG4" s="10" t="s">
        <v>6</v>
      </c>
      <c r="AH4" s="10" t="s">
        <v>7</v>
      </c>
      <c r="AI4" s="10" t="s">
        <v>4</v>
      </c>
      <c r="AJ4" s="10" t="s">
        <v>5</v>
      </c>
      <c r="AK4" s="10" t="s">
        <v>6</v>
      </c>
      <c r="AL4" s="10" t="s">
        <v>7</v>
      </c>
      <c r="AM4" s="10" t="s">
        <v>4</v>
      </c>
      <c r="AN4" s="10" t="s">
        <v>5</v>
      </c>
      <c r="AO4" s="10" t="s">
        <v>6</v>
      </c>
      <c r="AP4" s="10" t="s">
        <v>7</v>
      </c>
      <c r="AQ4" s="10" t="s">
        <v>4</v>
      </c>
      <c r="AR4" s="10" t="s">
        <v>5</v>
      </c>
      <c r="AS4" s="10" t="s">
        <v>6</v>
      </c>
      <c r="AT4" s="10" t="s">
        <v>7</v>
      </c>
      <c r="AU4" s="10" t="s">
        <v>4</v>
      </c>
      <c r="AV4" s="10" t="s">
        <v>5</v>
      </c>
      <c r="AW4" s="10" t="s">
        <v>6</v>
      </c>
      <c r="AX4" s="10" t="s">
        <v>7</v>
      </c>
      <c r="AY4" s="10" t="s">
        <v>4</v>
      </c>
      <c r="AZ4" s="10" t="s">
        <v>5</v>
      </c>
      <c r="BA4" s="10" t="s">
        <v>6</v>
      </c>
      <c r="BB4" s="10" t="s">
        <v>7</v>
      </c>
      <c r="BC4" s="10" t="s">
        <v>4</v>
      </c>
      <c r="BD4" s="10" t="s">
        <v>5</v>
      </c>
    </row>
    <row r="5" spans="1:56" ht="16.5">
      <c r="A5" s="11" t="s">
        <v>8</v>
      </c>
      <c r="B5" s="12" t="s">
        <v>9</v>
      </c>
      <c r="C5" s="12"/>
      <c r="D5" s="12"/>
      <c r="E5" s="128">
        <f>'tab1 lvl'!E5/E63</f>
        <v>0.74223812329280714</v>
      </c>
      <c r="F5" s="128">
        <f>'tab1 lvl'!F5/F63</f>
        <v>0.73521351147297798</v>
      </c>
      <c r="G5" s="128">
        <f>'tab1 lvl'!G5/G63</f>
        <v>0.75268105321777867</v>
      </c>
      <c r="H5" s="128">
        <f>'tab1 lvl'!H5/H63</f>
        <v>0.74445901568909667</v>
      </c>
      <c r="I5" s="128">
        <f>'tab1 lvl'!I5/I63</f>
        <v>0.73811720943507209</v>
      </c>
      <c r="J5" s="128">
        <f>'tab1 lvl'!J5/J63</f>
        <v>0.72240253772670271</v>
      </c>
      <c r="K5" s="128">
        <f>'tab1 lvl'!K5/K63</f>
        <v>0.72817082698571223</v>
      </c>
      <c r="L5" s="128">
        <f>'tab1 lvl'!L5/L63</f>
        <v>0.68481898639425831</v>
      </c>
      <c r="M5" s="128">
        <f>'tab1 lvl'!M5/M63</f>
        <v>0.6801386608884431</v>
      </c>
      <c r="N5" s="128">
        <f>'tab1 lvl'!N5/N63</f>
        <v>0.66938269732446543</v>
      </c>
      <c r="O5" s="128">
        <f>'tab1 lvl'!O5/O63</f>
        <v>0.642879189224839</v>
      </c>
      <c r="P5" s="128">
        <f>'tab1 lvl'!P5/P63</f>
        <v>0.61416194810622671</v>
      </c>
      <c r="Q5" s="128">
        <f>'tab1 lvl'!Q5/Q63</f>
        <v>0.6136649367816146</v>
      </c>
      <c r="R5" s="128">
        <f>'tab1 lvl'!R5/R63</f>
        <v>0.575838511529562</v>
      </c>
      <c r="S5" s="128">
        <f>'tab1 lvl'!S5/S63</f>
        <v>0.57142993490182181</v>
      </c>
      <c r="T5" s="128">
        <f>'tab1 lvl'!T5/T63</f>
        <v>0.53860978850007135</v>
      </c>
      <c r="U5" s="128">
        <f>'tab1 lvl'!U5/U63</f>
        <v>0.55186911256875892</v>
      </c>
      <c r="V5" s="128">
        <f>'tab1 lvl'!V5/V63</f>
        <v>0.5460885391766086</v>
      </c>
      <c r="W5" s="128">
        <f>'tab1 lvl'!W5/W63</f>
        <v>0.54555478539907476</v>
      </c>
      <c r="X5" s="128">
        <f>'tab1 lvl'!X5/X63</f>
        <v>0.5466851480973145</v>
      </c>
      <c r="Y5" s="128">
        <f>'tab1 lvl'!Y5/Y63</f>
        <v>0.54105763625485381</v>
      </c>
      <c r="Z5" s="128">
        <f>'tab1 lvl'!Z5/Z63</f>
        <v>0.53724062305625364</v>
      </c>
      <c r="AA5" s="128">
        <f>'tab1 lvl'!AA5/AA63</f>
        <v>0.54944588856980925</v>
      </c>
      <c r="AB5" s="128">
        <f>'tab1 lvl'!AB5/AB63</f>
        <v>0.5477898911095902</v>
      </c>
      <c r="AC5" s="128">
        <f>'tab1 lvl'!AC5/AC63</f>
        <v>0.53918878875876408</v>
      </c>
      <c r="AD5" s="128">
        <f>'tab1 lvl'!AD5/AD63</f>
        <v>0.53626974839087183</v>
      </c>
      <c r="AE5" s="128">
        <f>'tab1 lvl'!AE5/AE63</f>
        <v>0.53185274296726226</v>
      </c>
      <c r="AF5" s="128">
        <f>'tab1 lvl'!AF5/AF63</f>
        <v>0.52403859396588881</v>
      </c>
      <c r="AG5" s="128">
        <f>'tab1 lvl'!AG5/AG63</f>
        <v>0.51185780059263175</v>
      </c>
      <c r="AH5" s="128">
        <f>'tab1 lvl'!AH5/AH63</f>
        <v>0.51321450489645015</v>
      </c>
      <c r="AI5" s="128">
        <f>'tab1 lvl'!AI5/AI63</f>
        <v>0.51147785464170348</v>
      </c>
      <c r="AJ5" s="128">
        <f>'tab1 lvl'!AJ5/AJ63</f>
        <v>0.50999363124441655</v>
      </c>
      <c r="AK5" s="128">
        <f>'tab1 lvl'!AK5/AK63</f>
        <v>0.51496789482264371</v>
      </c>
      <c r="AL5" s="128">
        <f>'tab1 lvl'!AL5/AL63</f>
        <v>0.50622132246746476</v>
      </c>
      <c r="AM5" s="128">
        <f>'tab1 lvl'!AM5/AM63</f>
        <v>0.50594462014351871</v>
      </c>
      <c r="AN5" s="128">
        <f>'tab1 lvl'!AN5/AN63</f>
        <v>0.51482418148355724</v>
      </c>
      <c r="AO5" s="128">
        <f>'tab1 lvl'!AO5/AO63</f>
        <v>0.48976851476196542</v>
      </c>
      <c r="AP5" s="128">
        <f>'tab1 lvl'!AP5/AP63</f>
        <v>0.49483544874635615</v>
      </c>
      <c r="AQ5" s="128">
        <f>'tab1 lvl'!AQ5/AQ63</f>
        <v>0.49827657955780413</v>
      </c>
      <c r="AR5" s="128">
        <f>'tab1 lvl'!AR5/AR63</f>
        <v>0.49220345085886802</v>
      </c>
      <c r="AS5" s="128">
        <f>'tab1 lvl'!AS5/AS63</f>
        <v>0.47758344393799085</v>
      </c>
      <c r="AT5" s="128">
        <f>'tab1 lvl'!AT5/AT63</f>
        <v>0.46796632791468734</v>
      </c>
      <c r="AU5" s="128">
        <f>'tab1 lvl'!AU5/AU63</f>
        <v>0.46436277088374639</v>
      </c>
      <c r="AV5" s="128">
        <f>'tab1 lvl'!AV5/AV63</f>
        <v>0.45363930718793777</v>
      </c>
      <c r="AW5" s="128">
        <f>'tab1 lvl'!AW5/AW63</f>
        <v>0.45230908813278381</v>
      </c>
      <c r="AX5" s="128">
        <f>'tab1 lvl'!AX5/AX63</f>
        <v>0.44860072007922724</v>
      </c>
      <c r="AY5" s="128">
        <f>'tab1 lvl'!AY5/AY63</f>
        <v>0.4531077125877731</v>
      </c>
    </row>
    <row r="6" spans="1:56" ht="16.5">
      <c r="A6" s="2"/>
      <c r="B6" s="2"/>
      <c r="C6" s="2" t="s">
        <v>10</v>
      </c>
      <c r="D6" s="2"/>
      <c r="E6" s="118">
        <f>'tab1 lvl'!E6/'tab1 percent'!E63</f>
        <v>0.37764383268169893</v>
      </c>
      <c r="F6" s="118">
        <f>'tab1 lvl'!F6/'tab1 percent'!F63</f>
        <v>0.38113581484918324</v>
      </c>
      <c r="G6" s="118">
        <f>'tab1 lvl'!G6/'tab1 percent'!G63</f>
        <v>0.39577312893458477</v>
      </c>
      <c r="H6" s="118">
        <f>'tab1 lvl'!H6/'tab1 percent'!H63</f>
        <v>0.39083007596034319</v>
      </c>
      <c r="I6" s="118">
        <f>'tab1 lvl'!I6/'tab1 percent'!I63</f>
        <v>0.39290192814246283</v>
      </c>
      <c r="J6" s="118">
        <f>'tab1 lvl'!J6/'tab1 percent'!J63</f>
        <v>0.37781323439476677</v>
      </c>
      <c r="K6" s="118">
        <f>'tab1 lvl'!K6/'tab1 percent'!K63</f>
        <v>0.38855195965739514</v>
      </c>
      <c r="L6" s="118">
        <f>'tab1 lvl'!L6/'tab1 percent'!L63</f>
        <v>0.38118849896525914</v>
      </c>
      <c r="M6" s="118">
        <f>'tab1 lvl'!M6/'tab1 percent'!M63</f>
        <v>0.37596266537041118</v>
      </c>
      <c r="N6" s="118">
        <f>'tab1 lvl'!N6/'tab1 percent'!N63</f>
        <v>0.36183056180685685</v>
      </c>
      <c r="O6" s="118">
        <f>'tab1 lvl'!O6/'tab1 percent'!O63</f>
        <v>0.35420451819147969</v>
      </c>
      <c r="P6" s="118">
        <f>'tab1 lvl'!P6/'tab1 percent'!P63</f>
        <v>0.34348972605852474</v>
      </c>
      <c r="Q6" s="118">
        <f>'tab1 lvl'!Q6/'tab1 percent'!Q63</f>
        <v>0.33994972999619433</v>
      </c>
      <c r="R6" s="118">
        <f>'tab1 lvl'!R6/'tab1 percent'!R63</f>
        <v>0.32259160208067722</v>
      </c>
      <c r="S6" s="118">
        <f>'tab1 lvl'!S6/'tab1 percent'!S63</f>
        <v>0.32897590717201414</v>
      </c>
      <c r="T6" s="118">
        <f>'tab1 lvl'!T6/'tab1 percent'!T63</f>
        <v>0.31934659766440571</v>
      </c>
      <c r="U6" s="118">
        <f>'tab1 lvl'!U6/'tab1 percent'!U63</f>
        <v>0.32513101980535741</v>
      </c>
      <c r="V6" s="118">
        <f>'tab1 lvl'!V6/'tab1 percent'!V63</f>
        <v>0.31733445576830077</v>
      </c>
      <c r="W6" s="118">
        <f>'tab1 lvl'!W6/'tab1 percent'!W63</f>
        <v>0.31523060569333378</v>
      </c>
      <c r="X6" s="118">
        <f>'tab1 lvl'!X6/'tab1 percent'!X63</f>
        <v>0.31271316321419912</v>
      </c>
      <c r="Y6" s="118">
        <f>'tab1 lvl'!Y6/'tab1 percent'!Y63</f>
        <v>0.30541884590325696</v>
      </c>
      <c r="Z6" s="118">
        <f>'tab1 lvl'!Z6/'tab1 percent'!Z63</f>
        <v>0.30198704097083673</v>
      </c>
      <c r="AA6" s="118">
        <f>'tab1 lvl'!AA6/'tab1 percent'!AA63</f>
        <v>0.30701743609877186</v>
      </c>
      <c r="AB6" s="118">
        <f>'tab1 lvl'!AB6/'tab1 percent'!AB63</f>
        <v>0.3077493137114552</v>
      </c>
      <c r="AC6" s="118">
        <f>'tab1 lvl'!AC6/'tab1 percent'!AC63</f>
        <v>0.30680057038290404</v>
      </c>
      <c r="AD6" s="118">
        <f>'tab1 lvl'!AD6/'tab1 percent'!AD63</f>
        <v>0.30378162668227032</v>
      </c>
      <c r="AE6" s="118">
        <f>'tab1 lvl'!AE6/'tab1 percent'!AE63</f>
        <v>0.3077057367982941</v>
      </c>
      <c r="AF6" s="118">
        <f>'tab1 lvl'!AF6/'tab1 percent'!AF63</f>
        <v>0.30190570757085045</v>
      </c>
      <c r="AG6" s="118">
        <f>'tab1 lvl'!AG6/'tab1 percent'!AG63</f>
        <v>0.29006907364777412</v>
      </c>
      <c r="AH6" s="118">
        <f>'tab1 lvl'!AH6/'tab1 percent'!AH63</f>
        <v>0.29435175487788534</v>
      </c>
      <c r="AI6" s="118">
        <f>'tab1 lvl'!AI6/'tab1 percent'!AI63</f>
        <v>0.29201134848410704</v>
      </c>
      <c r="AJ6" s="118">
        <f>'tab1 lvl'!AJ6/'tab1 percent'!AJ63</f>
        <v>0.29596811316628713</v>
      </c>
      <c r="AK6" s="118">
        <f>'tab1 lvl'!AK6/'tab1 percent'!AK63</f>
        <v>0.30510063143774507</v>
      </c>
      <c r="AL6" s="118">
        <f>'tab1 lvl'!AL6/'tab1 percent'!AL63</f>
        <v>0.30270989035942641</v>
      </c>
      <c r="AM6" s="118">
        <f>'tab1 lvl'!AM6/'tab1 percent'!AM63</f>
        <v>0.30910151614940096</v>
      </c>
      <c r="AN6" s="118">
        <f>'tab1 lvl'!AN6/'tab1 percent'!AN63</f>
        <v>0.32841073491568912</v>
      </c>
      <c r="AO6" s="118">
        <f>'tab1 lvl'!AO6/'tab1 percent'!AO63</f>
        <v>0.31586168843964807</v>
      </c>
      <c r="AP6" s="118">
        <f>'tab1 lvl'!AP6/'tab1 percent'!AP63</f>
        <v>0.31786939272429604</v>
      </c>
      <c r="AQ6" s="118">
        <f>'tab1 lvl'!AQ6/'tab1 percent'!AQ63</f>
        <v>0.32665872278134872</v>
      </c>
      <c r="AR6" s="118">
        <f>'tab1 lvl'!AR6/'tab1 percent'!AR63</f>
        <v>0.32345602942086171</v>
      </c>
      <c r="AS6" s="118">
        <f>'tab1 lvl'!AS6/'tab1 percent'!AS63</f>
        <v>0.31075547350927241</v>
      </c>
      <c r="AT6" s="118">
        <f>'tab1 lvl'!AT6/'tab1 percent'!AT63</f>
        <v>0.3090410315912438</v>
      </c>
      <c r="AU6" s="118">
        <f>'tab1 lvl'!AU6/'tab1 percent'!AU63</f>
        <v>0.30503198160336675</v>
      </c>
      <c r="AV6" s="118">
        <f>'tab1 lvl'!AV6/'tab1 percent'!AV63</f>
        <v>0.30219748320300288</v>
      </c>
      <c r="AW6" s="118">
        <f>'tab1 lvl'!AW6/'tab1 percent'!AW63</f>
        <v>0.30126066824507003</v>
      </c>
      <c r="AX6" s="118">
        <f>'tab1 lvl'!AX6/'tab1 percent'!AX63</f>
        <v>0.29612332667964497</v>
      </c>
      <c r="AY6" s="118">
        <f>'tab1 lvl'!AY6/'tab1 percent'!AY63</f>
        <v>0.29642539710375876</v>
      </c>
    </row>
    <row r="7" spans="1:56" ht="16.5">
      <c r="A7" s="2"/>
      <c r="B7" s="2"/>
      <c r="C7" s="2" t="s">
        <v>11</v>
      </c>
      <c r="D7" s="2"/>
      <c r="E7" s="118">
        <f>'tab1 lvl'!E7/'tab1 percent'!E63</f>
        <v>0.36459429061110815</v>
      </c>
      <c r="F7" s="118">
        <f>'tab1 lvl'!F7/'tab1 percent'!F63</f>
        <v>0.35407769662379474</v>
      </c>
      <c r="G7" s="118">
        <f>'tab1 lvl'!G7/'tab1 percent'!G63</f>
        <v>0.35690792428319384</v>
      </c>
      <c r="H7" s="118">
        <f>'tab1 lvl'!H7/'tab1 percent'!H63</f>
        <v>0.35362893972875348</v>
      </c>
      <c r="I7" s="118">
        <f>'tab1 lvl'!I7/'tab1 percent'!I63</f>
        <v>0.34521528129260926</v>
      </c>
      <c r="J7" s="118">
        <f>'tab1 lvl'!J7/'tab1 percent'!J63</f>
        <v>0.34458930333193594</v>
      </c>
      <c r="K7" s="118">
        <f>'tab1 lvl'!K7/'tab1 percent'!K63</f>
        <v>0.33961886732831714</v>
      </c>
      <c r="L7" s="118">
        <f>'tab1 lvl'!L7/'tab1 percent'!L63</f>
        <v>0.30363048742899917</v>
      </c>
      <c r="M7" s="118">
        <f>'tab1 lvl'!M7/'tab1 percent'!M63</f>
        <v>0.30417599551803193</v>
      </c>
      <c r="N7" s="118">
        <f>'tab1 lvl'!N7/'tab1 percent'!N63</f>
        <v>0.30755213551760857</v>
      </c>
      <c r="O7" s="118">
        <f>'tab1 lvl'!O7/'tab1 percent'!O63</f>
        <v>0.28867467103335931</v>
      </c>
      <c r="P7" s="118">
        <f>'tab1 lvl'!P7/'tab1 percent'!P63</f>
        <v>0.27067222204770192</v>
      </c>
      <c r="Q7" s="118">
        <f>'tab1 lvl'!Q7/'tab1 percent'!Q63</f>
        <v>0.27371520678542027</v>
      </c>
      <c r="R7" s="118">
        <f>'tab1 lvl'!R7/'tab1 percent'!R63</f>
        <v>0.25324690944888484</v>
      </c>
      <c r="S7" s="118">
        <f>'tab1 lvl'!S7/'tab1 percent'!S63</f>
        <v>0.24245402772980765</v>
      </c>
      <c r="T7" s="118">
        <f>'tab1 lvl'!T7/'tab1 percent'!T63</f>
        <v>0.21926319083566562</v>
      </c>
      <c r="U7" s="118">
        <f>'tab1 lvl'!U7/'tab1 percent'!U63</f>
        <v>0.2267380927634014</v>
      </c>
      <c r="V7" s="118">
        <f>'tab1 lvl'!V7/'tab1 percent'!V63</f>
        <v>0.22875408340830777</v>
      </c>
      <c r="W7" s="118">
        <f>'tab1 lvl'!W7/'tab1 percent'!W63</f>
        <v>0.23032417970574107</v>
      </c>
      <c r="X7" s="118">
        <f>'tab1 lvl'!X7/'tab1 percent'!X63</f>
        <v>0.23397198488311532</v>
      </c>
      <c r="Y7" s="118">
        <f>'tab1 lvl'!Y7/'tab1 percent'!Y63</f>
        <v>0.23563879035159685</v>
      </c>
      <c r="Z7" s="118">
        <f>'tab1 lvl'!Z7/'tab1 percent'!Z63</f>
        <v>0.23525358208541694</v>
      </c>
      <c r="AA7" s="118">
        <f>'tab1 lvl'!AA7/'tab1 percent'!AA63</f>
        <v>0.24242845247103745</v>
      </c>
      <c r="AB7" s="118">
        <f>'tab1 lvl'!AB7/'tab1 percent'!AB63</f>
        <v>0.24004057739813506</v>
      </c>
      <c r="AC7" s="118">
        <f>'tab1 lvl'!AC7/'tab1 percent'!AC63</f>
        <v>0.2323882183758601</v>
      </c>
      <c r="AD7" s="118">
        <f>'tab1 lvl'!AD7/'tab1 percent'!AD63</f>
        <v>0.23248812170860153</v>
      </c>
      <c r="AE7" s="118">
        <f>'tab1 lvl'!AE7/'tab1 percent'!AE63</f>
        <v>0.22414700616896813</v>
      </c>
      <c r="AF7" s="118">
        <f>'tab1 lvl'!AF7/'tab1 percent'!AF63</f>
        <v>0.22213288639503839</v>
      </c>
      <c r="AG7" s="118">
        <f>'tab1 lvl'!AG7/'tab1 percent'!AG63</f>
        <v>0.22178872694485757</v>
      </c>
      <c r="AH7" s="118">
        <f>'tab1 lvl'!AH7/'tab1 percent'!AH63</f>
        <v>0.21886275001856492</v>
      </c>
      <c r="AI7" s="118">
        <f>'tab1 lvl'!AI7/'tab1 percent'!AI63</f>
        <v>0.21946650615759644</v>
      </c>
      <c r="AJ7" s="118">
        <f>'tab1 lvl'!AJ7/'tab1 percent'!AJ63</f>
        <v>0.21402551807812939</v>
      </c>
      <c r="AK7" s="118">
        <f>'tab1 lvl'!AK7/'tab1 percent'!AK63</f>
        <v>0.20986726338489853</v>
      </c>
      <c r="AL7" s="118">
        <f>'tab1 lvl'!AL7/'tab1 percent'!AL63</f>
        <v>0.20351143210803832</v>
      </c>
      <c r="AM7" s="118">
        <f>'tab1 lvl'!AM7/'tab1 percent'!AM63</f>
        <v>0.19684310399411781</v>
      </c>
      <c r="AN7" s="118">
        <f>'tab1 lvl'!AN7/'tab1 percent'!AN63</f>
        <v>0.18641344656786815</v>
      </c>
      <c r="AO7" s="118">
        <f>'tab1 lvl'!AO7/'tab1 percent'!AO63</f>
        <v>0.17390682632231741</v>
      </c>
      <c r="AP7" s="118">
        <f>'tab1 lvl'!AP7/'tab1 percent'!AP63</f>
        <v>0.17696605602206011</v>
      </c>
      <c r="AQ7" s="118">
        <f>'tab1 lvl'!AQ7/'tab1 percent'!AQ63</f>
        <v>0.17161785677645539</v>
      </c>
      <c r="AR7" s="118">
        <f>'tab1 lvl'!AR7/'tab1 percent'!AR63</f>
        <v>0.16874742143800631</v>
      </c>
      <c r="AS7" s="118">
        <f>'tab1 lvl'!AS7/'tab1 percent'!AS63</f>
        <v>0.16682797042871844</v>
      </c>
      <c r="AT7" s="118">
        <f>'tab1 lvl'!AT7/'tab1 percent'!AT63</f>
        <v>0.1589252963234436</v>
      </c>
      <c r="AU7" s="118">
        <f>'tab1 lvl'!AU7/'tab1 percent'!AU63</f>
        <v>0.15933078928037964</v>
      </c>
      <c r="AV7" s="118">
        <f>'tab1 lvl'!AV7/'tab1 percent'!AV63</f>
        <v>0.15144182398493489</v>
      </c>
      <c r="AW7" s="118">
        <f>'tab1 lvl'!AW7/'tab1 percent'!AW63</f>
        <v>0.15104841988771373</v>
      </c>
      <c r="AX7" s="118">
        <f>'tab1 lvl'!AX7/'tab1 percent'!AX63</f>
        <v>0.15247739339958227</v>
      </c>
      <c r="AY7" s="118">
        <f>'tab1 lvl'!AY7/'tab1 percent'!AY63</f>
        <v>0.15668231548401437</v>
      </c>
    </row>
    <row r="8" spans="1:56" ht="16.5">
      <c r="A8" s="2"/>
      <c r="B8" s="2"/>
      <c r="C8" s="2"/>
      <c r="D8" s="2"/>
      <c r="E8" s="118"/>
      <c r="F8" s="3"/>
      <c r="G8" s="3"/>
      <c r="H8" s="3"/>
      <c r="I8" s="3"/>
      <c r="J8" s="3"/>
      <c r="K8" s="3"/>
      <c r="L8" s="3"/>
      <c r="M8" s="2"/>
      <c r="N8" s="2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4"/>
      <c r="AL8" s="4"/>
      <c r="AM8" s="4"/>
      <c r="AN8" s="4"/>
      <c r="AO8" s="4"/>
      <c r="AP8" s="4"/>
      <c r="AQ8" s="4"/>
      <c r="AR8" s="4"/>
      <c r="AS8" s="4"/>
    </row>
    <row r="9" spans="1:56" ht="16.5">
      <c r="A9" s="23" t="s">
        <v>12</v>
      </c>
      <c r="B9" s="24" t="s">
        <v>13</v>
      </c>
      <c r="C9" s="24"/>
      <c r="D9" s="24"/>
      <c r="E9" s="129">
        <f>'tab1 lvl'!E9/'tab1 percent'!E63</f>
        <v>6.2890497563065723E-2</v>
      </c>
      <c r="F9" s="129">
        <f>'tab1 lvl'!F9/'tab1 percent'!F63</f>
        <v>7.3273663121168869E-2</v>
      </c>
      <c r="G9" s="129">
        <f>'tab1 lvl'!G9/'tab1 percent'!G63</f>
        <v>7.8584418433834194E-2</v>
      </c>
      <c r="H9" s="129">
        <f>'tab1 lvl'!H9/'tab1 percent'!H63</f>
        <v>8.1022456099921189E-2</v>
      </c>
      <c r="I9" s="129">
        <f>'tab1 lvl'!I9/'tab1 percent'!I63</f>
        <v>8.1717152735660756E-2</v>
      </c>
      <c r="J9" s="129">
        <f>'tab1 lvl'!J9/'tab1 percent'!J63</f>
        <v>7.5211717343347986E-2</v>
      </c>
      <c r="K9" s="129">
        <f>'tab1 lvl'!K9/'tab1 percent'!K63</f>
        <v>7.8741087360177195E-2</v>
      </c>
      <c r="L9" s="129">
        <f>'tab1 lvl'!L9/'tab1 percent'!L63</f>
        <v>8.2343484655012997E-2</v>
      </c>
      <c r="M9" s="129">
        <f>'tab1 lvl'!M9/'tab1 percent'!M63</f>
        <v>8.3922642109216405E-2</v>
      </c>
      <c r="N9" s="129">
        <f>'tab1 lvl'!N9/'tab1 percent'!N63</f>
        <v>8.6582117154602983E-2</v>
      </c>
      <c r="O9" s="129">
        <f>'tab1 lvl'!O9/'tab1 percent'!O63</f>
        <v>8.5687616623064108E-2</v>
      </c>
      <c r="P9" s="129">
        <f>'tab1 lvl'!P9/'tab1 percent'!P63</f>
        <v>8.1536874296082848E-2</v>
      </c>
      <c r="Q9" s="129">
        <f>'tab1 lvl'!Q9/'tab1 percent'!Q63</f>
        <v>8.6213997801506848E-2</v>
      </c>
      <c r="R9" s="129">
        <f>'tab1 lvl'!R9/'tab1 percent'!R63</f>
        <v>8.5687137783816258E-2</v>
      </c>
      <c r="S9" s="129">
        <f>'tab1 lvl'!S9/'tab1 percent'!S63</f>
        <v>8.1760473839337003E-2</v>
      </c>
      <c r="T9" s="129">
        <f>'tab1 lvl'!T9/'tab1 percent'!T63</f>
        <v>7.7524742405793032E-2</v>
      </c>
      <c r="U9" s="129">
        <f>'tab1 lvl'!U9/'tab1 percent'!U63</f>
        <v>8.9210588166209012E-2</v>
      </c>
      <c r="V9" s="129">
        <f>'tab1 lvl'!V9/'tab1 percent'!V63</f>
        <v>8.4288477727427424E-2</v>
      </c>
      <c r="W9" s="129">
        <f>'tab1 lvl'!W9/'tab1 percent'!W63</f>
        <v>8.2972352860569615E-2</v>
      </c>
      <c r="X9" s="129">
        <f>'tab1 lvl'!X9/'tab1 percent'!X63</f>
        <v>7.9753995096169455E-2</v>
      </c>
      <c r="Y9" s="129">
        <f>'tab1 lvl'!Y9/'tab1 percent'!Y63</f>
        <v>7.7449553626493653E-2</v>
      </c>
      <c r="Z9" s="129">
        <f>'tab1 lvl'!Z9/'tab1 percent'!Z63</f>
        <v>7.6822671361694489E-2</v>
      </c>
      <c r="AA9" s="129">
        <f>'tab1 lvl'!AA9/'tab1 percent'!AA63</f>
        <v>7.8662480567630991E-2</v>
      </c>
      <c r="AB9" s="129">
        <f>'tab1 lvl'!AB9/'tab1 percent'!AB63</f>
        <v>7.7224056436572333E-2</v>
      </c>
      <c r="AC9" s="129">
        <f>'tab1 lvl'!AC9/'tab1 percent'!AC63</f>
        <v>8.3835731900683719E-2</v>
      </c>
      <c r="AD9" s="129">
        <f>'tab1 lvl'!AD9/'tab1 percent'!AD63</f>
        <v>7.917573200702166E-2</v>
      </c>
      <c r="AE9" s="129">
        <f>'tab1 lvl'!AE9/'tab1 percent'!AE63</f>
        <v>7.3396251867224649E-2</v>
      </c>
      <c r="AF9" s="129">
        <f>'tab1 lvl'!AF9/'tab1 percent'!AF63</f>
        <v>7.4808642880308501E-2</v>
      </c>
      <c r="AG9" s="129">
        <f>'tab1 lvl'!AG9/'tab1 percent'!AG63</f>
        <v>4.9390481140508702E-2</v>
      </c>
      <c r="AH9" s="129">
        <f>'tab1 lvl'!AH9/'tab1 percent'!AH63</f>
        <v>4.9051495018069873E-2</v>
      </c>
      <c r="AI9" s="129">
        <f>'tab1 lvl'!AI9/'tab1 percent'!AI63</f>
        <v>4.5787034979511788E-2</v>
      </c>
      <c r="AJ9" s="129">
        <f>'tab1 lvl'!AJ9/'tab1 percent'!AJ63</f>
        <v>6.0639377093393884E-2</v>
      </c>
      <c r="AK9" s="129">
        <f>'tab1 lvl'!AK9/'tab1 percent'!AK63</f>
        <v>5.3532047318440273E-2</v>
      </c>
      <c r="AL9" s="129">
        <f>'tab1 lvl'!AL9/'tab1 percent'!AL63</f>
        <v>5.7519834833712986E-2</v>
      </c>
      <c r="AM9" s="129">
        <f>'tab1 lvl'!AM9/'tab1 percent'!AM63</f>
        <v>6.7280235131873312E-2</v>
      </c>
      <c r="AN9" s="129">
        <f>'tab1 lvl'!AN9/'tab1 percent'!AN63</f>
        <v>7.2427858080283208E-2</v>
      </c>
      <c r="AO9" s="129">
        <f>'tab1 lvl'!AO9/'tab1 percent'!AO63</f>
        <v>6.8860738567062554E-2</v>
      </c>
      <c r="AP9" s="129">
        <f>'tab1 lvl'!AP9/'tab1 percent'!AP63</f>
        <v>6.8644735334789458E-2</v>
      </c>
      <c r="AQ9" s="129">
        <f>'tab1 lvl'!AQ9/'tab1 percent'!AQ63</f>
        <v>6.6361790829475742E-2</v>
      </c>
      <c r="AR9" s="129">
        <f>'tab1 lvl'!AR9/'tab1 percent'!AR63</f>
        <v>6.480045547303194E-2</v>
      </c>
      <c r="AS9" s="129">
        <f>'tab1 lvl'!AS9/'tab1 percent'!AS63</f>
        <v>6.1625614392538185E-2</v>
      </c>
      <c r="AT9" s="129">
        <f>'tab1 lvl'!AT9/'tab1 percent'!AT63</f>
        <v>6.0753148362833104E-2</v>
      </c>
      <c r="AU9" s="129">
        <f>'tab1 lvl'!AU9/'tab1 percent'!AU63</f>
        <v>5.8328450873646145E-2</v>
      </c>
      <c r="AV9" s="129">
        <f>'tab1 lvl'!AV9/'tab1 percent'!AV63</f>
        <v>5.6314727286878405E-2</v>
      </c>
      <c r="AW9" s="129">
        <f>'tab1 lvl'!AW9/'tab1 percent'!AW63</f>
        <v>5.6236361037507968E-2</v>
      </c>
      <c r="AX9" s="129">
        <f>'tab1 lvl'!AX9/'tab1 percent'!AX63</f>
        <v>5.4432513013892535E-2</v>
      </c>
      <c r="AY9" s="129">
        <f>'tab1 lvl'!AY9/'tab1 percent'!AY63</f>
        <v>5.2939442472943049E-2</v>
      </c>
    </row>
    <row r="10" spans="1:56" ht="16.5">
      <c r="A10" s="31"/>
      <c r="B10" s="2"/>
      <c r="C10" s="2" t="s">
        <v>10</v>
      </c>
      <c r="D10" s="2"/>
      <c r="E10" s="118">
        <f>'tab1 lvl'!E10/'tab1 percent'!E63</f>
        <v>6.2338653526859834E-2</v>
      </c>
      <c r="F10" s="118">
        <f>'tab1 lvl'!F10/'tab1 percent'!F63</f>
        <v>7.2655379527909986E-2</v>
      </c>
      <c r="G10" s="118">
        <f>'tab1 lvl'!G10/'tab1 percent'!G63</f>
        <v>7.7961735485294295E-2</v>
      </c>
      <c r="H10" s="118">
        <f>'tab1 lvl'!H10/'tab1 percent'!H63</f>
        <v>8.0416443134225885E-2</v>
      </c>
      <c r="I10" s="118">
        <f>'tab1 lvl'!I10/'tab1 percent'!I63</f>
        <v>8.1136991081289453E-2</v>
      </c>
      <c r="J10" s="118">
        <f>'tab1 lvl'!J10/'tab1 percent'!J63</f>
        <v>7.4615488584054396E-2</v>
      </c>
      <c r="K10" s="118">
        <f>'tab1 lvl'!K10/'tab1 percent'!K63</f>
        <v>7.8007076480197599E-2</v>
      </c>
      <c r="L10" s="118">
        <f>'tab1 lvl'!L10/'tab1 percent'!L63</f>
        <v>8.1658709876271413E-2</v>
      </c>
      <c r="M10" s="118">
        <f>'tab1 lvl'!M10/'tab1 percent'!M63</f>
        <v>8.3266821283581302E-2</v>
      </c>
      <c r="N10" s="118">
        <f>'tab1 lvl'!N10/'tab1 percent'!N63</f>
        <v>8.5905441486397338E-2</v>
      </c>
      <c r="O10" s="118">
        <f>'tab1 lvl'!O10/'tab1 percent'!O63</f>
        <v>8.5052511268312328E-2</v>
      </c>
      <c r="P10" s="118">
        <f>'tab1 lvl'!P10/'tab1 percent'!P63</f>
        <v>8.0925776535334712E-2</v>
      </c>
      <c r="Q10" s="118">
        <f>'tab1 lvl'!Q10/'tab1 percent'!Q63</f>
        <v>8.5615300226062035E-2</v>
      </c>
      <c r="R10" s="118">
        <f>'tab1 lvl'!R10/'tab1 percent'!R63</f>
        <v>8.5121659572433797E-2</v>
      </c>
      <c r="S10" s="118">
        <f>'tab1 lvl'!S10/'tab1 percent'!S63</f>
        <v>8.121136417458695E-2</v>
      </c>
      <c r="T10" s="118">
        <f>'tab1 lvl'!T10/'tab1 percent'!T63</f>
        <v>7.7026757647669211E-2</v>
      </c>
      <c r="U10" s="118">
        <f>'tab1 lvl'!U10/'tab1 percent'!U63</f>
        <v>8.8875731416757087E-2</v>
      </c>
      <c r="V10" s="118">
        <f>'tab1 lvl'!V10/'tab1 percent'!V63</f>
        <v>8.3939212155364484E-2</v>
      </c>
      <c r="W10" s="118">
        <f>'tab1 lvl'!W10/'tab1 percent'!W63</f>
        <v>8.2610823374145728E-2</v>
      </c>
      <c r="X10" s="118">
        <f>'tab1 lvl'!X10/'tab1 percent'!X63</f>
        <v>7.9395315547935261E-2</v>
      </c>
      <c r="Y10" s="118">
        <f>'tab1 lvl'!Y10/'tab1 percent'!Y63</f>
        <v>7.7079816997866285E-2</v>
      </c>
      <c r="Z10" s="118">
        <f>'tab1 lvl'!Z10/'tab1 percent'!Z63</f>
        <v>7.6452019030571486E-2</v>
      </c>
      <c r="AA10" s="118">
        <f>'tab1 lvl'!AA10/'tab1 percent'!AA63</f>
        <v>7.808079052935199E-2</v>
      </c>
      <c r="AB10" s="118">
        <f>'tab1 lvl'!AB10/'tab1 percent'!AB63</f>
        <v>7.6742259638284543E-2</v>
      </c>
      <c r="AC10" s="118">
        <f>'tab1 lvl'!AC10/'tab1 percent'!AC63</f>
        <v>8.3835731900683719E-2</v>
      </c>
      <c r="AD10" s="118">
        <f>'tab1 lvl'!AD10/'tab1 percent'!AD63</f>
        <v>7.917573200702166E-2</v>
      </c>
      <c r="AE10" s="118">
        <f>'tab1 lvl'!AE10/'tab1 percent'!AE63</f>
        <v>7.3396251867224649E-2</v>
      </c>
      <c r="AF10" s="118">
        <f>'tab1 lvl'!AF10/'tab1 percent'!AF63</f>
        <v>6.8316349900260795E-2</v>
      </c>
      <c r="AG10" s="118">
        <f>'tab1 lvl'!AG10/'tab1 percent'!AG63</f>
        <v>4.9390481140508702E-2</v>
      </c>
      <c r="AH10" s="118">
        <f>'tab1 lvl'!AH10/'tab1 percent'!AH63</f>
        <v>4.9051495018069873E-2</v>
      </c>
      <c r="AI10" s="118">
        <f>'tab1 lvl'!AI10/'tab1 percent'!AI63</f>
        <v>4.5787034979511788E-2</v>
      </c>
      <c r="AJ10" s="118">
        <f>'tab1 lvl'!AJ10/'tab1 percent'!AJ63</f>
        <v>5.458272452492513E-2</v>
      </c>
      <c r="AK10" s="118">
        <f>'tab1 lvl'!AK10/'tab1 percent'!AK63</f>
        <v>5.3532047318440273E-2</v>
      </c>
      <c r="AL10" s="118">
        <f>'tab1 lvl'!AL10/'tab1 percent'!AL63</f>
        <v>5.7519834833712986E-2</v>
      </c>
      <c r="AM10" s="118">
        <f>'tab1 lvl'!AM10/'tab1 percent'!AM63</f>
        <v>6.7280235131873312E-2</v>
      </c>
      <c r="AN10" s="118">
        <f>'tab1 lvl'!AN10/'tab1 percent'!AN63</f>
        <v>6.5231630494283308E-2</v>
      </c>
      <c r="AO10" s="118">
        <f>'tab1 lvl'!AO10/'tab1 percent'!AO63</f>
        <v>6.2155637082172276E-2</v>
      </c>
      <c r="AP10" s="118">
        <f>'tab1 lvl'!AP10/'tab1 percent'!AP63</f>
        <v>6.1685909412164321E-2</v>
      </c>
      <c r="AQ10" s="118">
        <f>'tab1 lvl'!AQ10/'tab1 percent'!AQ63</f>
        <v>5.9514297883263956E-2</v>
      </c>
      <c r="AR10" s="118">
        <f>'tab1 lvl'!AR10/'tab1 percent'!AR63</f>
        <v>5.7935264296864589E-2</v>
      </c>
      <c r="AS10" s="118">
        <f>'tab1 lvl'!AS10/'tab1 percent'!AS63</f>
        <v>5.4983124622726545E-2</v>
      </c>
      <c r="AT10" s="118">
        <f>'tab1 lvl'!AT10/'tab1 percent'!AT63</f>
        <v>5.4294134117097374E-2</v>
      </c>
      <c r="AU10" s="118">
        <f>'tab1 lvl'!AU10/'tab1 percent'!AU63</f>
        <v>5.1891119781065718E-2</v>
      </c>
      <c r="AV10" s="118">
        <f>'tab1 lvl'!AV10/'tab1 percent'!AV63</f>
        <v>5.0133808061799276E-2</v>
      </c>
      <c r="AW10" s="118">
        <f>'tab1 lvl'!AW10/'tab1 percent'!AW63</f>
        <v>5.0202858640686784E-2</v>
      </c>
      <c r="AX10" s="118">
        <f>'tab1 lvl'!AX10/'tab1 percent'!AX63</f>
        <v>4.8224004725577002E-2</v>
      </c>
      <c r="AY10" s="118">
        <f>'tab1 lvl'!AY10/'tab1 percent'!AY63</f>
        <v>4.6572540034600089E-2</v>
      </c>
    </row>
    <row r="11" spans="1:56" ht="16.5">
      <c r="A11" s="31"/>
      <c r="B11" s="2"/>
      <c r="C11" s="2" t="s">
        <v>11</v>
      </c>
      <c r="D11" s="2"/>
      <c r="E11" s="118">
        <f>'tab1 lvl'!E11/'tab1 percent'!E63</f>
        <v>5.5184403620588075E-4</v>
      </c>
      <c r="F11" s="118">
        <f>'tab1 lvl'!F11/'tab1 percent'!F63</f>
        <v>6.1828359325889781E-4</v>
      </c>
      <c r="G11" s="118">
        <f>'tab1 lvl'!G11/'tab1 percent'!G63</f>
        <v>6.2268294853988547E-4</v>
      </c>
      <c r="H11" s="118">
        <f>'tab1 lvl'!H11/'tab1 percent'!H63</f>
        <v>6.0601296569529734E-4</v>
      </c>
      <c r="I11" s="118">
        <f>'tab1 lvl'!I11/'tab1 percent'!I63</f>
        <v>5.8016165437130144E-4</v>
      </c>
      <c r="J11" s="118">
        <f>'tab1 lvl'!J11/'tab1 percent'!J63</f>
        <v>5.9622875929359227E-4</v>
      </c>
      <c r="K11" s="118">
        <f>'tab1 lvl'!K11/'tab1 percent'!K63</f>
        <v>7.3401087997959104E-4</v>
      </c>
      <c r="L11" s="118">
        <f>'tab1 lvl'!L11/'tab1 percent'!L63</f>
        <v>6.8477477874157901E-4</v>
      </c>
      <c r="M11" s="118">
        <f>'tab1 lvl'!M11/'tab1 percent'!M63</f>
        <v>6.5582082563509999E-4</v>
      </c>
      <c r="N11" s="118">
        <f>'tab1 lvl'!N11/'tab1 percent'!N63</f>
        <v>6.7667566820565027E-4</v>
      </c>
      <c r="O11" s="118">
        <f>'tab1 lvl'!O11/'tab1 percent'!O63</f>
        <v>6.3510535475177316E-4</v>
      </c>
      <c r="P11" s="118">
        <f>'tab1 lvl'!P11/'tab1 percent'!P63</f>
        <v>6.1109776074813626E-4</v>
      </c>
      <c r="Q11" s="118">
        <f>'tab1 lvl'!Q11/'tab1 percent'!Q63</f>
        <v>5.9869757544481087E-4</v>
      </c>
      <c r="R11" s="118">
        <f>'tab1 lvl'!R11/'tab1 percent'!R63</f>
        <v>5.6547821138246037E-4</v>
      </c>
      <c r="S11" s="118">
        <f>'tab1 lvl'!S11/'tab1 percent'!S63</f>
        <v>5.4910966475004938E-4</v>
      </c>
      <c r="T11" s="118">
        <f>'tab1 lvl'!T11/'tab1 percent'!T63</f>
        <v>4.9798475812382374E-4</v>
      </c>
      <c r="U11" s="118">
        <f>'tab1 lvl'!U11/'tab1 percent'!U63</f>
        <v>3.3485674945191288E-4</v>
      </c>
      <c r="V11" s="118">
        <f>'tab1 lvl'!V11/'tab1 percent'!V63</f>
        <v>3.4926557206294272E-4</v>
      </c>
      <c r="W11" s="118">
        <f>'tab1 lvl'!W11/'tab1 percent'!W63</f>
        <v>3.6152948642388552E-4</v>
      </c>
      <c r="X11" s="118">
        <f>'tab1 lvl'!X11/'tab1 percent'!X63</f>
        <v>3.5867954823418969E-4</v>
      </c>
      <c r="Y11" s="118">
        <f>'tab1 lvl'!Y11/'tab1 percent'!Y63</f>
        <v>3.6973662862737651E-4</v>
      </c>
      <c r="Z11" s="118">
        <f>'tab1 lvl'!Z11/'tab1 percent'!Z63</f>
        <v>3.7065233112299639E-4</v>
      </c>
      <c r="AA11" s="118">
        <f>'tab1 lvl'!AA11/'tab1 percent'!AA63</f>
        <v>5.8169003827899645E-4</v>
      </c>
      <c r="AB11" s="118">
        <f>'tab1 lvl'!AB11/'tab1 percent'!AB63</f>
        <v>4.8179679828779524E-4</v>
      </c>
      <c r="AC11" s="118">
        <f>'tab1 lvl'!AC11/'tab1 percent'!AC63</f>
        <v>0</v>
      </c>
      <c r="AD11" s="118">
        <f>'tab1 lvl'!AD11/'tab1 percent'!AD63</f>
        <v>0</v>
      </c>
      <c r="AE11" s="118">
        <f>'tab1 lvl'!AE11/'tab1 percent'!AE63</f>
        <v>0</v>
      </c>
      <c r="AF11" s="118">
        <f>'tab1 lvl'!AF11/'tab1 percent'!AF63</f>
        <v>6.4922929800477151E-3</v>
      </c>
      <c r="AG11" s="118">
        <f>'tab1 lvl'!AG11/'tab1 percent'!AG63</f>
        <v>0</v>
      </c>
      <c r="AH11" s="118">
        <f>'tab1 lvl'!AH11/'tab1 percent'!AH63</f>
        <v>0</v>
      </c>
      <c r="AI11" s="118">
        <f>'tab1 lvl'!AI11/'tab1 percent'!AI63</f>
        <v>0</v>
      </c>
      <c r="AJ11" s="118">
        <f>'tab1 lvl'!AJ11/'tab1 percent'!AJ63</f>
        <v>6.0566525684687574E-3</v>
      </c>
      <c r="AK11" s="118">
        <f>'tab1 lvl'!AK11/'tab1 percent'!AK63</f>
        <v>0</v>
      </c>
      <c r="AL11" s="118">
        <f>'tab1 lvl'!AL11/'tab1 percent'!AL63</f>
        <v>0</v>
      </c>
      <c r="AM11" s="118">
        <f>'tab1 lvl'!AM11/'tab1 percent'!AM63</f>
        <v>0</v>
      </c>
      <c r="AN11" s="118">
        <f>'tab1 lvl'!AN11/'tab1 percent'!AN63</f>
        <v>7.1962275859998905E-3</v>
      </c>
      <c r="AO11" s="118">
        <f>'tab1 lvl'!AO11/'tab1 percent'!AO63</f>
        <v>6.7051014848902857E-3</v>
      </c>
      <c r="AP11" s="118">
        <f>'tab1 lvl'!AP11/'tab1 percent'!AP63</f>
        <v>6.958825922625137E-3</v>
      </c>
      <c r="AQ11" s="118">
        <f>'tab1 lvl'!AQ11/'tab1 percent'!AQ63</f>
        <v>6.8474929462117827E-3</v>
      </c>
      <c r="AR11" s="118">
        <f>'tab1 lvl'!AR11/'tab1 percent'!AR63</f>
        <v>6.8651911761673547E-3</v>
      </c>
      <c r="AS11" s="118">
        <f>'tab1 lvl'!AS11/'tab1 percent'!AS63</f>
        <v>6.6424897698116412E-3</v>
      </c>
      <c r="AT11" s="118">
        <f>'tab1 lvl'!AT11/'tab1 percent'!AT63</f>
        <v>6.459014245735732E-3</v>
      </c>
      <c r="AU11" s="118">
        <f>'tab1 lvl'!AU11/'tab1 percent'!AU63</f>
        <v>6.4373310925804348E-3</v>
      </c>
      <c r="AV11" s="118">
        <f>'tab1 lvl'!AV11/'tab1 percent'!AV63</f>
        <v>6.1809192250791281E-3</v>
      </c>
      <c r="AW11" s="118">
        <f>'tab1 lvl'!AW11/'tab1 percent'!AW63</f>
        <v>6.0335023968211788E-3</v>
      </c>
      <c r="AX11" s="118">
        <f>'tab1 lvl'!AX11/'tab1 percent'!AX63</f>
        <v>6.2085082883155266E-3</v>
      </c>
      <c r="AY11" s="118">
        <f>'tab1 lvl'!AY11/'tab1 percent'!AY63</f>
        <v>6.3669024383429512E-3</v>
      </c>
    </row>
    <row r="12" spans="1:56" ht="16.5">
      <c r="A12" s="11" t="s">
        <v>14</v>
      </c>
      <c r="B12" s="12" t="s">
        <v>15</v>
      </c>
      <c r="C12" s="12"/>
      <c r="D12" s="12"/>
      <c r="E12" s="128">
        <f>'tab1 lvl'!E12/'tab1 percent'!E63</f>
        <v>0.67934762572974128</v>
      </c>
      <c r="F12" s="128">
        <f>'tab1 lvl'!F12/'tab1 percent'!F63</f>
        <v>0.66193984835180919</v>
      </c>
      <c r="G12" s="128">
        <f>'tab1 lvl'!G12/'tab1 percent'!G63</f>
        <v>0.67409663478394444</v>
      </c>
      <c r="H12" s="128">
        <f>'tab1 lvl'!H12/'tab1 percent'!H63</f>
        <v>0.66343655958917547</v>
      </c>
      <c r="I12" s="128">
        <f>'tab1 lvl'!I12/'tab1 percent'!I63</f>
        <v>0.65640005669941137</v>
      </c>
      <c r="J12" s="128">
        <f>'tab1 lvl'!J12/'tab1 percent'!J63</f>
        <v>0.64719082038335474</v>
      </c>
      <c r="K12" s="128">
        <f>'tab1 lvl'!K12/'tab1 percent'!K63</f>
        <v>0.64942973962553507</v>
      </c>
      <c r="L12" s="128">
        <f>'tab1 lvl'!L12/'tab1 percent'!L63</f>
        <v>0.60247550173924536</v>
      </c>
      <c r="M12" s="128">
        <f>'tab1 lvl'!M12/'tab1 percent'!M63</f>
        <v>0.5962160187792267</v>
      </c>
      <c r="N12" s="128">
        <f>'tab1 lvl'!N12/'tab1 percent'!N63</f>
        <v>0.58280058016986247</v>
      </c>
      <c r="O12" s="128">
        <f>'tab1 lvl'!O12/'tab1 percent'!O63</f>
        <v>0.55719157260177488</v>
      </c>
      <c r="P12" s="128">
        <f>'tab1 lvl'!P12/'tab1 percent'!P63</f>
        <v>0.53262507381014379</v>
      </c>
      <c r="Q12" s="128">
        <f>'tab1 lvl'!Q12/'tab1 percent'!Q63</f>
        <v>0.52745093898010775</v>
      </c>
      <c r="R12" s="128">
        <f>'tab1 lvl'!R12/'tab1 percent'!R63</f>
        <v>0.4901513737457458</v>
      </c>
      <c r="S12" s="128">
        <f>'tab1 lvl'!S12/'tab1 percent'!S63</f>
        <v>0.48966946106248477</v>
      </c>
      <c r="T12" s="128">
        <f>'tab1 lvl'!T12/'tab1 percent'!T63</f>
        <v>0.46108504609427831</v>
      </c>
      <c r="U12" s="128">
        <f>'tab1 lvl'!U12/'tab1 percent'!U63</f>
        <v>0.46265852440254979</v>
      </c>
      <c r="V12" s="128">
        <f>'tab1 lvl'!V12/'tab1 percent'!V63</f>
        <v>0.46180006144918118</v>
      </c>
      <c r="W12" s="128">
        <f>'tab1 lvl'!W12/'tab1 percent'!W63</f>
        <v>0.46258243253850528</v>
      </c>
      <c r="X12" s="128">
        <f>'tab1 lvl'!X12/'tab1 percent'!X63</f>
        <v>0.46693115300114502</v>
      </c>
      <c r="Y12" s="128">
        <f>'tab1 lvl'!Y12/'tab1 percent'!Y63</f>
        <v>0.46360808262836017</v>
      </c>
      <c r="Z12" s="128">
        <f>'tab1 lvl'!Z12/'tab1 percent'!Z63</f>
        <v>0.46041795169455924</v>
      </c>
      <c r="AA12" s="128">
        <f>'tab1 lvl'!AA12/'tab1 percent'!AA63</f>
        <v>0.47078340800217833</v>
      </c>
      <c r="AB12" s="128">
        <f>'tab1 lvl'!AB12/'tab1 percent'!AB63</f>
        <v>0.47056583467301788</v>
      </c>
      <c r="AC12" s="128">
        <f>'tab1 lvl'!AC12/'tab1 percent'!AC63</f>
        <v>0.45535305685808042</v>
      </c>
      <c r="AD12" s="128">
        <f>'tab1 lvl'!AD12/'tab1 percent'!AD63</f>
        <v>0.45709401638385022</v>
      </c>
      <c r="AE12" s="128">
        <f>'tab1 lvl'!AE12/'tab1 percent'!AE63</f>
        <v>0.45845649110003756</v>
      </c>
      <c r="AF12" s="128">
        <f>'tab1 lvl'!AF12/'tab1 percent'!AF63</f>
        <v>0.44922995108558028</v>
      </c>
      <c r="AG12" s="128">
        <f>'tab1 lvl'!AG12/'tab1 percent'!AG63</f>
        <v>0.46246731945212305</v>
      </c>
      <c r="AH12" s="128">
        <f>'tab1 lvl'!AH12/'tab1 percent'!AH63</f>
        <v>0.46416300987838044</v>
      </c>
      <c r="AI12" s="128">
        <f>'tab1 lvl'!AI12/'tab1 percent'!AI63</f>
        <v>0.46569081966219172</v>
      </c>
      <c r="AJ12" s="128">
        <f>'tab1 lvl'!AJ12/'tab1 percent'!AJ63</f>
        <v>0.44935425415102259</v>
      </c>
      <c r="AK12" s="128">
        <f>'tab1 lvl'!AK12/'tab1 percent'!AK63</f>
        <v>0.4614358475042033</v>
      </c>
      <c r="AL12" s="128">
        <f>'tab1 lvl'!AL12/'tab1 percent'!AL63</f>
        <v>0.44870148763375178</v>
      </c>
      <c r="AM12" s="128">
        <f>'tab1 lvl'!AM12/'tab1 percent'!AM63</f>
        <v>0.43866438501164551</v>
      </c>
      <c r="AN12" s="128">
        <f>'tab1 lvl'!AN12/'tab1 percent'!AN63</f>
        <v>0.44239632340327401</v>
      </c>
      <c r="AO12" s="128">
        <f>'tab1 lvl'!AO12/'tab1 percent'!AO63</f>
        <v>0.42090777619490294</v>
      </c>
      <c r="AP12" s="128">
        <f>'tab1 lvl'!AP12/'tab1 percent'!AP63</f>
        <v>0.42619071341156672</v>
      </c>
      <c r="AQ12" s="128">
        <f>'tab1 lvl'!AQ12/'tab1 percent'!AQ63</f>
        <v>0.43191478872832839</v>
      </c>
      <c r="AR12" s="128">
        <f>'tab1 lvl'!AR12/'tab1 percent'!AR63</f>
        <v>0.42740299538583598</v>
      </c>
      <c r="AS12" s="128">
        <f>'tab1 lvl'!AS12/'tab1 percent'!AS63</f>
        <v>0.41595782954545263</v>
      </c>
      <c r="AT12" s="128">
        <f>'tab1 lvl'!AT12/'tab1 percent'!AT63</f>
        <v>0.40721317955185427</v>
      </c>
      <c r="AU12" s="128">
        <f>'tab1 lvl'!AU12/'tab1 percent'!AU63</f>
        <v>0.4060343200101002</v>
      </c>
      <c r="AV12" s="128">
        <f>'tab1 lvl'!AV12/'tab1 percent'!AV63</f>
        <v>0.39732457990105935</v>
      </c>
      <c r="AW12" s="128">
        <f>'tab1 lvl'!AW12/'tab1 percent'!AW63</f>
        <v>0.39607272709527575</v>
      </c>
      <c r="AX12" s="128">
        <f>'tab1 lvl'!AX12/'tab1 percent'!AX63</f>
        <v>0.39416820706533467</v>
      </c>
      <c r="AY12" s="128">
        <f>'tab1 lvl'!AY12/'tab1 percent'!AY63</f>
        <v>0.40016827011483008</v>
      </c>
    </row>
    <row r="13" spans="1:56" ht="16.5">
      <c r="A13" s="31"/>
      <c r="B13" s="2"/>
      <c r="C13" s="2" t="s">
        <v>10</v>
      </c>
      <c r="D13" s="2"/>
      <c r="E13" s="118">
        <f>'tab1 lvl'!E13/'tab1 percent'!E63</f>
        <v>0.31530517915483908</v>
      </c>
      <c r="F13" s="118">
        <f>'tab1 lvl'!F13/'tab1 percent'!F63</f>
        <v>0.30848043532127328</v>
      </c>
      <c r="G13" s="118">
        <f>'tab1 lvl'!G13/'tab1 percent'!G63</f>
        <v>0.31781139344929044</v>
      </c>
      <c r="H13" s="118">
        <f>'tab1 lvl'!H13/'tab1 percent'!H63</f>
        <v>0.31041363282611734</v>
      </c>
      <c r="I13" s="118">
        <f>'tab1 lvl'!I13/'tab1 percent'!I63</f>
        <v>0.31176493706117336</v>
      </c>
      <c r="J13" s="118">
        <f>'tab1 lvl'!J13/'tab1 percent'!J63</f>
        <v>0.3031977458107124</v>
      </c>
      <c r="K13" s="118">
        <f>'tab1 lvl'!K13/'tab1 percent'!K63</f>
        <v>0.31054488317719758</v>
      </c>
      <c r="L13" s="118">
        <f>'tab1 lvl'!L13/'tab1 percent'!L63</f>
        <v>0.2995297890889877</v>
      </c>
      <c r="M13" s="118">
        <f>'tab1 lvl'!M13/'tab1 percent'!M63</f>
        <v>0.29269584408682991</v>
      </c>
      <c r="N13" s="118">
        <f>'tab1 lvl'!N13/'tab1 percent'!N63</f>
        <v>0.27592512032045952</v>
      </c>
      <c r="O13" s="118">
        <f>'tab1 lvl'!O13/'tab1 percent'!O63</f>
        <v>0.26915200692316732</v>
      </c>
      <c r="P13" s="118">
        <f>'tab1 lvl'!P13/'tab1 percent'!P63</f>
        <v>0.26256394952319001</v>
      </c>
      <c r="Q13" s="118">
        <f>'tab1 lvl'!Q13/'tab1 percent'!Q63</f>
        <v>0.25433442977013226</v>
      </c>
      <c r="R13" s="118">
        <f>'tab1 lvl'!R13/'tab1 percent'!R63</f>
        <v>0.23746994250824344</v>
      </c>
      <c r="S13" s="118">
        <f>'tab1 lvl'!S13/'tab1 percent'!S63</f>
        <v>0.2477645429974272</v>
      </c>
      <c r="T13" s="118">
        <f>'tab1 lvl'!T13/'tab1 percent'!T63</f>
        <v>0.24231984001673648</v>
      </c>
      <c r="U13" s="118">
        <f>'tab1 lvl'!U13/'tab1 percent'!U63</f>
        <v>0.23625528838860033</v>
      </c>
      <c r="V13" s="118">
        <f>'tab1 lvl'!V13/'tab1 percent'!V63</f>
        <v>0.23339524361293629</v>
      </c>
      <c r="W13" s="118">
        <f>'tab1 lvl'!W13/'tab1 percent'!W63</f>
        <v>0.23261978231918806</v>
      </c>
      <c r="X13" s="118">
        <f>'tab1 lvl'!X13/'tab1 percent'!X63</f>
        <v>0.2333178476662639</v>
      </c>
      <c r="Y13" s="118">
        <f>'tab1 lvl'!Y13/'tab1 percent'!Y63</f>
        <v>0.22833902890539071</v>
      </c>
      <c r="Z13" s="118">
        <f>'tab1 lvl'!Z13/'tab1 percent'!Z63</f>
        <v>0.22553502194026526</v>
      </c>
      <c r="AA13" s="118">
        <f>'tab1 lvl'!AA13/'tab1 percent'!AA63</f>
        <v>0.22893664556941987</v>
      </c>
      <c r="AB13" s="118">
        <f>'tab1 lvl'!AB13/'tab1 percent'!AB63</f>
        <v>0.23100705407317063</v>
      </c>
      <c r="AC13" s="118">
        <f>'tab1 lvl'!AC13/'tab1 percent'!AC63</f>
        <v>0.22296483848222029</v>
      </c>
      <c r="AD13" s="118">
        <f>'tab1 lvl'!AD13/'tab1 percent'!AD63</f>
        <v>0.22460589467524866</v>
      </c>
      <c r="AE13" s="118">
        <f>'tab1 lvl'!AE13/'tab1 percent'!AE63</f>
        <v>0.23430948493106948</v>
      </c>
      <c r="AF13" s="118">
        <f>'tab1 lvl'!AF13/'tab1 percent'!AF63</f>
        <v>0.23358935767058961</v>
      </c>
      <c r="AG13" s="118">
        <f>'tab1 lvl'!AG13/'tab1 percent'!AG63</f>
        <v>0.24067859250726539</v>
      </c>
      <c r="AH13" s="118">
        <f>'tab1 lvl'!AH13/'tab1 percent'!AH63</f>
        <v>0.24530025985981546</v>
      </c>
      <c r="AI13" s="118">
        <f>'tab1 lvl'!AI13/'tab1 percent'!AI63</f>
        <v>0.24622431350459528</v>
      </c>
      <c r="AJ13" s="118">
        <f>'tab1 lvl'!AJ13/'tab1 percent'!AJ63</f>
        <v>0.241385388641362</v>
      </c>
      <c r="AK13" s="118">
        <f>'tab1 lvl'!AK13/'tab1 percent'!AK63</f>
        <v>0.25156858411930477</v>
      </c>
      <c r="AL13" s="118">
        <f>'tab1 lvl'!AL13/'tab1 percent'!AL63</f>
        <v>0.24519005552571344</v>
      </c>
      <c r="AM13" s="118">
        <f>'tab1 lvl'!AM13/'tab1 percent'!AM63</f>
        <v>0.24182128101752767</v>
      </c>
      <c r="AN13" s="118">
        <f>'tab1 lvl'!AN13/'tab1 percent'!AN63</f>
        <v>0.2631791044214058</v>
      </c>
      <c r="AO13" s="118">
        <f>'tab1 lvl'!AO13/'tab1 percent'!AO63</f>
        <v>0.25370605135747581</v>
      </c>
      <c r="AP13" s="118">
        <f>'tab1 lvl'!AP13/'tab1 percent'!AP63</f>
        <v>0.2561834833121317</v>
      </c>
      <c r="AQ13" s="118">
        <f>'tab1 lvl'!AQ13/'tab1 percent'!AQ63</f>
        <v>0.26714442489808476</v>
      </c>
      <c r="AR13" s="118">
        <f>'tab1 lvl'!AR13/'tab1 percent'!AR63</f>
        <v>0.26552076512399708</v>
      </c>
      <c r="AS13" s="118">
        <f>'tab1 lvl'!AS13/'tab1 percent'!AS63</f>
        <v>0.25577234888654582</v>
      </c>
      <c r="AT13" s="118">
        <f>'tab1 lvl'!AT13/'tab1 percent'!AT63</f>
        <v>0.25474689747414642</v>
      </c>
      <c r="AU13" s="118">
        <f>'tab1 lvl'!AU13/'tab1 percent'!AU63</f>
        <v>0.25314086182230106</v>
      </c>
      <c r="AV13" s="118">
        <f>'tab1 lvl'!AV13/'tab1 percent'!AV63</f>
        <v>0.25206367514120359</v>
      </c>
      <c r="AW13" s="118">
        <f>'tab1 lvl'!AW13/'tab1 percent'!AW63</f>
        <v>0.25105780960438323</v>
      </c>
      <c r="AX13" s="118">
        <f>'tab1 lvl'!AX13/'tab1 percent'!AX63</f>
        <v>0.24789932195406797</v>
      </c>
      <c r="AY13" s="118">
        <f>'tab1 lvl'!AY13/'tab1 percent'!AY63</f>
        <v>0.24985285706915866</v>
      </c>
    </row>
    <row r="14" spans="1:56" ht="16.5">
      <c r="A14" s="2"/>
      <c r="B14" s="2"/>
      <c r="C14" s="2" t="s">
        <v>11</v>
      </c>
      <c r="D14" s="2"/>
      <c r="E14" s="118">
        <f>'tab1 lvl'!E14/'tab1 percent'!E63</f>
        <v>0.36404244657490231</v>
      </c>
      <c r="F14" s="118">
        <f>'tab1 lvl'!F14/'tab1 percent'!F63</f>
        <v>0.3534594130305358</v>
      </c>
      <c r="G14" s="118">
        <f>'tab1 lvl'!G14/'tab1 percent'!G63</f>
        <v>0.35628524133465395</v>
      </c>
      <c r="H14" s="118">
        <f>'tab1 lvl'!H14/'tab1 percent'!H63</f>
        <v>0.35302292676305819</v>
      </c>
      <c r="I14" s="118">
        <f>'tab1 lvl'!I14/'tab1 percent'!I63</f>
        <v>0.34463511963823795</v>
      </c>
      <c r="J14" s="118">
        <f>'tab1 lvl'!J14/'tab1 percent'!J63</f>
        <v>0.34399307457264233</v>
      </c>
      <c r="K14" s="118">
        <f>'tab1 lvl'!K14/'tab1 percent'!K63</f>
        <v>0.33888485644833755</v>
      </c>
      <c r="L14" s="118">
        <f>'tab1 lvl'!L14/'tab1 percent'!L63</f>
        <v>0.3029457126502576</v>
      </c>
      <c r="M14" s="118">
        <f>'tab1 lvl'!M14/'tab1 percent'!M63</f>
        <v>0.30352017469239684</v>
      </c>
      <c r="N14" s="118">
        <f>'tab1 lvl'!N14/'tab1 percent'!N63</f>
        <v>0.30687545984940295</v>
      </c>
      <c r="O14" s="118">
        <f>'tab1 lvl'!O14/'tab1 percent'!O63</f>
        <v>0.2880395656786075</v>
      </c>
      <c r="P14" s="118">
        <f>'tab1 lvl'!P14/'tab1 percent'!P63</f>
        <v>0.27006112428695372</v>
      </c>
      <c r="Q14" s="118">
        <f>'tab1 lvl'!Q14/'tab1 percent'!Q63</f>
        <v>0.27311650920997549</v>
      </c>
      <c r="R14" s="118">
        <f>'tab1 lvl'!R14/'tab1 percent'!R63</f>
        <v>0.25268143123750236</v>
      </c>
      <c r="S14" s="118">
        <f>'tab1 lvl'!S14/'tab1 percent'!S63</f>
        <v>0.24190491806505759</v>
      </c>
      <c r="T14" s="118">
        <f>'tab1 lvl'!T14/'tab1 percent'!T63</f>
        <v>0.21876520607754182</v>
      </c>
      <c r="U14" s="118">
        <f>'tab1 lvl'!U14/'tab1 percent'!U63</f>
        <v>0.22640323601394949</v>
      </c>
      <c r="V14" s="118">
        <f>'tab1 lvl'!V14/'tab1 percent'!V63</f>
        <v>0.22840481783624486</v>
      </c>
      <c r="W14" s="118">
        <f>'tab1 lvl'!W14/'tab1 percent'!W63</f>
        <v>0.22996265021931719</v>
      </c>
      <c r="X14" s="118">
        <f>'tab1 lvl'!X14/'tab1 percent'!X63</f>
        <v>0.23361330533488114</v>
      </c>
      <c r="Y14" s="118">
        <f>'tab1 lvl'!Y14/'tab1 percent'!Y63</f>
        <v>0.23526905372296947</v>
      </c>
      <c r="Z14" s="118">
        <f>'tab1 lvl'!Z14/'tab1 percent'!Z63</f>
        <v>0.23488292975429395</v>
      </c>
      <c r="AA14" s="118">
        <f>'tab1 lvl'!AA14/'tab1 percent'!AA63</f>
        <v>0.24184676243275846</v>
      </c>
      <c r="AB14" s="118">
        <f>'tab1 lvl'!AB14/'tab1 percent'!AB63</f>
        <v>0.23955878059984725</v>
      </c>
      <c r="AC14" s="118">
        <f>'tab1 lvl'!AC14/'tab1 percent'!AC63</f>
        <v>0.2323882183758601</v>
      </c>
      <c r="AD14" s="118">
        <f>'tab1 lvl'!AD14/'tab1 percent'!AD63</f>
        <v>0.23248812170860153</v>
      </c>
      <c r="AE14" s="118">
        <f>'tab1 lvl'!AE14/'tab1 percent'!AE63</f>
        <v>0.22414700616896813</v>
      </c>
      <c r="AF14" s="118">
        <f>'tab1 lvl'!AF14/'tab1 percent'!AF63</f>
        <v>0.21564059341499064</v>
      </c>
      <c r="AG14" s="118">
        <f>'tab1 lvl'!AG14/'tab1 percent'!AG63</f>
        <v>0.22178872694485757</v>
      </c>
      <c r="AH14" s="118">
        <f>'tab1 lvl'!AH14/'tab1 percent'!AH63</f>
        <v>0.21886275001856492</v>
      </c>
      <c r="AI14" s="118">
        <f>'tab1 lvl'!AI14/'tab1 percent'!AI63</f>
        <v>0.21946650615759644</v>
      </c>
      <c r="AJ14" s="118">
        <f>'tab1 lvl'!AJ14/'tab1 percent'!AJ63</f>
        <v>0.20796886550966062</v>
      </c>
      <c r="AK14" s="118">
        <f>'tab1 lvl'!AK14/'tab1 percent'!AK63</f>
        <v>0.20986726338489853</v>
      </c>
      <c r="AL14" s="118">
        <f>'tab1 lvl'!AL14/'tab1 percent'!AL63</f>
        <v>0.20351143210803832</v>
      </c>
      <c r="AM14" s="118">
        <f>'tab1 lvl'!AM14/'tab1 percent'!AM63</f>
        <v>0.19684310399411781</v>
      </c>
      <c r="AN14" s="118">
        <f>'tab1 lvl'!AN14/'tab1 percent'!AN63</f>
        <v>0.17921721898186826</v>
      </c>
      <c r="AO14" s="118">
        <f>'tab1 lvl'!AO14/'tab1 percent'!AO63</f>
        <v>0.16720172483742712</v>
      </c>
      <c r="AP14" s="118">
        <f>'tab1 lvl'!AP14/'tab1 percent'!AP63</f>
        <v>0.17000723009943497</v>
      </c>
      <c r="AQ14" s="118">
        <f>'tab1 lvl'!AQ14/'tab1 percent'!AQ63</f>
        <v>0.16477036383024363</v>
      </c>
      <c r="AR14" s="118">
        <f>'tab1 lvl'!AR14/'tab1 percent'!AR63</f>
        <v>0.16188223026183896</v>
      </c>
      <c r="AS14" s="118">
        <f>'tab1 lvl'!AS14/'tab1 percent'!AS63</f>
        <v>0.16018548065890678</v>
      </c>
      <c r="AT14" s="118">
        <f>'tab1 lvl'!AT14/'tab1 percent'!AT63</f>
        <v>0.15246628207770788</v>
      </c>
      <c r="AU14" s="118">
        <f>'tab1 lvl'!AU14/'tab1 percent'!AU63</f>
        <v>0.1528934581877992</v>
      </c>
      <c r="AV14" s="118">
        <f>'tab1 lvl'!AV14/'tab1 percent'!AV63</f>
        <v>0.14526090475985576</v>
      </c>
      <c r="AW14" s="118">
        <f>'tab1 lvl'!AW14/'tab1 percent'!AW63</f>
        <v>0.14501491749089254</v>
      </c>
      <c r="AX14" s="118">
        <f>'tab1 lvl'!AX14/'tab1 percent'!AX63</f>
        <v>0.14626888511126673</v>
      </c>
      <c r="AY14" s="118">
        <f>'tab1 lvl'!AY14/'tab1 percent'!AY63</f>
        <v>0.15031541304567142</v>
      </c>
    </row>
    <row r="15" spans="1:56" ht="16.5">
      <c r="A15" s="2"/>
      <c r="B15" s="2"/>
      <c r="C15" s="2"/>
      <c r="D15" s="2"/>
      <c r="E15" s="118"/>
      <c r="F15" s="3"/>
      <c r="G15" s="3"/>
      <c r="H15" s="3"/>
      <c r="I15" s="3"/>
      <c r="J15" s="3"/>
      <c r="K15" s="3"/>
      <c r="L15" s="3"/>
      <c r="M15" s="2"/>
      <c r="N15" s="2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4"/>
      <c r="AL15" s="4"/>
      <c r="AM15" s="4"/>
      <c r="AN15" s="4"/>
      <c r="AO15" s="3"/>
      <c r="AP15" s="4"/>
      <c r="AQ15" s="4"/>
      <c r="AR15" s="4"/>
      <c r="AS15" s="4"/>
    </row>
    <row r="16" spans="1:56" ht="16.5">
      <c r="A16" s="11" t="s">
        <v>16</v>
      </c>
      <c r="B16" s="12" t="s">
        <v>93</v>
      </c>
      <c r="C16" s="12"/>
      <c r="D16" s="12"/>
      <c r="E16" s="128">
        <f>'tab1 lvl'!E16/'tab1 percent'!E63</f>
        <v>1.2494456643993358E-2</v>
      </c>
      <c r="F16" s="128">
        <f>'tab1 lvl'!F16/'tab1 percent'!F63</f>
        <v>1.1633958534971046E-2</v>
      </c>
      <c r="G16" s="128">
        <f>'tab1 lvl'!G16/'tab1 percent'!G63</f>
        <v>1.0695550918060522E-2</v>
      </c>
      <c r="H16" s="128">
        <f>'tab1 lvl'!H16/'tab1 percent'!H63</f>
        <v>9.4698716027056297E-3</v>
      </c>
      <c r="I16" s="128">
        <f>'tab1 lvl'!I16/'tab1 percent'!I63</f>
        <v>8.3911284499216567E-3</v>
      </c>
      <c r="J16" s="128">
        <f>'tab1 lvl'!J16/'tab1 percent'!J63</f>
        <v>8.0736786974507993E-3</v>
      </c>
      <c r="K16" s="128">
        <f>'tab1 lvl'!K16/'tab1 percent'!K63</f>
        <v>7.7594889989867962E-3</v>
      </c>
      <c r="L16" s="128">
        <f>'tab1 lvl'!L16/'tab1 percent'!L63</f>
        <v>6.8777218440332875E-3</v>
      </c>
      <c r="M16" s="128">
        <f>'tab1 lvl'!M16/'tab1 percent'!M63</f>
        <v>6.4264470319765907E-3</v>
      </c>
      <c r="N16" s="128">
        <f>'tab1 lvl'!N16/'tab1 percent'!N63</f>
        <v>2.6317878635850837E-3</v>
      </c>
      <c r="O16" s="128">
        <f>'tab1 lvl'!O16/'tab1 percent'!O63</f>
        <v>2.3814564585750626E-3</v>
      </c>
      <c r="P16" s="128">
        <f>'tab1 lvl'!P16/'tab1 percent'!P63</f>
        <v>1.2088538875378179E-3</v>
      </c>
      <c r="Q16" s="128">
        <f>'tab1 lvl'!Q16/'tab1 percent'!Q63</f>
        <v>1.1358552327180862E-3</v>
      </c>
      <c r="R16" s="128">
        <f>'tab1 lvl'!R16/'tab1 percent'!R63</f>
        <v>2.8386019967887926E-4</v>
      </c>
      <c r="S16" s="128">
        <f>'tab1 lvl'!S16/'tab1 percent'!S63</f>
        <v>2.6226692516692109E-4</v>
      </c>
      <c r="T16" s="128">
        <f>'tab1 lvl'!T16/'tab1 percent'!T63</f>
        <v>2.3833510238699637E-4</v>
      </c>
      <c r="U16" s="128">
        <f>'tab1 lvl'!U16/'tab1 percent'!U63</f>
        <v>2.3504297001449007E-4</v>
      </c>
      <c r="V16" s="128">
        <f>'tab1 lvl'!V16/'tab1 percent'!V63</f>
        <v>2.2648589884169672E-4</v>
      </c>
      <c r="W16" s="128">
        <f>'tab1 lvl'!W16/'tab1 percent'!W63</f>
        <v>2.0266043078370148E-4</v>
      </c>
      <c r="X16" s="128">
        <f>'tab1 lvl'!X16/'tab1 percent'!X63</f>
        <v>2.2413651989799637E-4</v>
      </c>
      <c r="Y16" s="128">
        <f>'tab1 lvl'!Y16/'tab1 percent'!Y63</f>
        <v>1.7989058664861349E-4</v>
      </c>
      <c r="Z16" s="128">
        <f>'tab1 lvl'!Z16/'tab1 percent'!Z63</f>
        <v>1.8237447120186085E-4</v>
      </c>
      <c r="AA16" s="128">
        <f>'tab1 lvl'!AA16/'tab1 percent'!AA63</f>
        <v>1.6000762040026723E-4</v>
      </c>
      <c r="AB16" s="128">
        <f>'tab1 lvl'!AB16/'tab1 percent'!AB63</f>
        <v>1.4873005548742403E-4</v>
      </c>
      <c r="AC16" s="128">
        <f>'tab1 lvl'!AC16/'tab1 percent'!AC63</f>
        <v>1.107732118229878E-4</v>
      </c>
      <c r="AD16" s="128">
        <f>'tab1 lvl'!AD16/'tab1 percent'!AD63</f>
        <v>1.1750423882270332E-4</v>
      </c>
      <c r="AE16" s="128">
        <f>'tab1 lvl'!AE16/'tab1 percent'!AE63</f>
        <v>8.6097813686899203E-5</v>
      </c>
      <c r="AF16" s="128">
        <f>'tab1 lvl'!AF16/'tab1 percent'!AF63</f>
        <v>8.5997987266034912E-5</v>
      </c>
      <c r="AG16" s="128">
        <f>'tab1 lvl'!AG16/'tab1 percent'!AG63</f>
        <v>5.4281770492876773E-5</v>
      </c>
      <c r="AH16" s="128">
        <f>'tab1 lvl'!AH16/'tab1 percent'!AH63</f>
        <v>5.4968556075302815E-5</v>
      </c>
      <c r="AI16" s="128">
        <f>'tab1 lvl'!AI16/'tab1 percent'!AI63</f>
        <v>2.8522161930746019E-5</v>
      </c>
      <c r="AJ16" s="128">
        <f>'tab1 lvl'!AJ16/'tab1 percent'!AJ63</f>
        <v>2.811932995396841E-5</v>
      </c>
      <c r="AK16" s="128">
        <f>'tab1 lvl'!AK16/'tab1 percent'!AK63</f>
        <v>0</v>
      </c>
      <c r="AL16" s="128">
        <f>'tab1 lvl'!AL16/'tab1 percent'!AL63</f>
        <v>0</v>
      </c>
      <c r="AM16" s="128">
        <f>'tab1 lvl'!AM16/'tab1 percent'!AM63</f>
        <v>0</v>
      </c>
      <c r="AN16" s="128">
        <f>'tab1 lvl'!AN16/'tab1 percent'!AN63</f>
        <v>0</v>
      </c>
      <c r="AO16" s="128">
        <f>'tab1 lvl'!AO16/'tab1 percent'!AO63</f>
        <v>0</v>
      </c>
      <c r="AP16" s="128">
        <f>'tab1 lvl'!AP16/'tab1 percent'!AP63</f>
        <v>0</v>
      </c>
      <c r="AQ16" s="128">
        <f>'tab1 lvl'!AQ16/'tab1 percent'!AQ63</f>
        <v>0</v>
      </c>
      <c r="AR16" s="128">
        <f>'tab1 lvl'!AR16/'tab1 percent'!AR63</f>
        <v>0</v>
      </c>
      <c r="AS16" s="128">
        <f>'tab1 lvl'!AS16/'tab1 percent'!AS63</f>
        <v>0</v>
      </c>
      <c r="AT16" s="128">
        <f>'tab1 lvl'!AT16/'tab1 percent'!AT63</f>
        <v>0</v>
      </c>
      <c r="AU16" s="128">
        <f>'tab1 lvl'!AU16/'tab1 percent'!AU63</f>
        <v>0</v>
      </c>
      <c r="AV16" s="128">
        <f>'tab1 lvl'!AV16/'tab1 percent'!AV63</f>
        <v>0</v>
      </c>
      <c r="AW16" s="128">
        <f>'tab1 lvl'!AW16/'tab1 percent'!AW63</f>
        <v>0</v>
      </c>
      <c r="AX16" s="128">
        <f>'tab1 lvl'!AX16/'tab1 percent'!AX63</f>
        <v>0</v>
      </c>
      <c r="AY16" s="128">
        <f>'tab1 lvl'!AY16/'tab1 percent'!AY63</f>
        <v>0</v>
      </c>
    </row>
    <row r="17" spans="1:51" ht="16.5">
      <c r="A17" s="2"/>
      <c r="B17" s="2"/>
      <c r="C17" s="2" t="s">
        <v>10</v>
      </c>
      <c r="D17" s="2"/>
      <c r="E17" s="118">
        <f>'tab1 lvl'!E17/'tab1 percent'!E63</f>
        <v>0</v>
      </c>
      <c r="F17" s="118">
        <f>'tab1 lvl'!F17/'tab1 percent'!F63</f>
        <v>0</v>
      </c>
      <c r="G17" s="118">
        <f>'tab1 lvl'!G17/'tab1 percent'!G63</f>
        <v>0</v>
      </c>
      <c r="H17" s="118">
        <f>'tab1 lvl'!H17/'tab1 percent'!H63</f>
        <v>0</v>
      </c>
      <c r="I17" s="118">
        <f>'tab1 lvl'!I17/'tab1 percent'!I63</f>
        <v>0</v>
      </c>
      <c r="J17" s="118">
        <f>'tab1 lvl'!J17/'tab1 percent'!J63</f>
        <v>0</v>
      </c>
      <c r="K17" s="118">
        <f>'tab1 lvl'!K17/'tab1 percent'!K63</f>
        <v>0</v>
      </c>
      <c r="L17" s="118">
        <f>'tab1 lvl'!L17/'tab1 percent'!L63</f>
        <v>0</v>
      </c>
      <c r="M17" s="118">
        <f>'tab1 lvl'!M17/'tab1 percent'!M63</f>
        <v>0</v>
      </c>
      <c r="N17" s="118">
        <f>'tab1 lvl'!N17/'tab1 percent'!N63</f>
        <v>0</v>
      </c>
      <c r="O17" s="118">
        <f>'tab1 lvl'!O17/'tab1 percent'!O63</f>
        <v>0</v>
      </c>
      <c r="P17" s="118">
        <f>'tab1 lvl'!P17/'tab1 percent'!P63</f>
        <v>0</v>
      </c>
      <c r="Q17" s="118">
        <f>'tab1 lvl'!Q17/'tab1 percent'!Q63</f>
        <v>0</v>
      </c>
      <c r="R17" s="118">
        <f>'tab1 lvl'!R17/'tab1 percent'!R63</f>
        <v>0</v>
      </c>
      <c r="S17" s="118">
        <f>'tab1 lvl'!S17/'tab1 percent'!S63</f>
        <v>0</v>
      </c>
      <c r="T17" s="118">
        <f>'tab1 lvl'!T17/'tab1 percent'!T63</f>
        <v>0</v>
      </c>
      <c r="U17" s="118">
        <f>'tab1 lvl'!U17/'tab1 percent'!U63</f>
        <v>0</v>
      </c>
      <c r="V17" s="118">
        <f>'tab1 lvl'!V17/'tab1 percent'!V63</f>
        <v>0</v>
      </c>
      <c r="W17" s="118">
        <f>'tab1 lvl'!W17/'tab1 percent'!W63</f>
        <v>0</v>
      </c>
      <c r="X17" s="118">
        <f>'tab1 lvl'!X17/'tab1 percent'!X63</f>
        <v>0</v>
      </c>
      <c r="Y17" s="118">
        <f>'tab1 lvl'!Y17/'tab1 percent'!Y63</f>
        <v>0</v>
      </c>
      <c r="Z17" s="118">
        <f>'tab1 lvl'!Z17/'tab1 percent'!Z63</f>
        <v>0</v>
      </c>
      <c r="AA17" s="118">
        <f>'tab1 lvl'!AA17/'tab1 percent'!AA63</f>
        <v>0</v>
      </c>
      <c r="AB17" s="118">
        <f>'tab1 lvl'!AB17/'tab1 percent'!AB63</f>
        <v>0</v>
      </c>
      <c r="AC17" s="118">
        <f>'tab1 lvl'!AC17/'tab1 percent'!AC63</f>
        <v>0</v>
      </c>
      <c r="AD17" s="118">
        <f>'tab1 lvl'!AD17/'tab1 percent'!AD63</f>
        <v>0</v>
      </c>
      <c r="AE17" s="118">
        <f>'tab1 lvl'!AE17/'tab1 percent'!AE63</f>
        <v>0</v>
      </c>
      <c r="AF17" s="118">
        <f>'tab1 lvl'!AF17/'tab1 percent'!AF63</f>
        <v>0</v>
      </c>
      <c r="AG17" s="118">
        <f>'tab1 lvl'!AG17/'tab1 percent'!AG63</f>
        <v>0</v>
      </c>
      <c r="AH17" s="118">
        <f>'tab1 lvl'!AH17/'tab1 percent'!AH63</f>
        <v>0</v>
      </c>
      <c r="AI17" s="118">
        <f>'tab1 lvl'!AI17/'tab1 percent'!AI63</f>
        <v>0</v>
      </c>
      <c r="AJ17" s="118">
        <f>'tab1 lvl'!AJ17/'tab1 percent'!AJ63</f>
        <v>0</v>
      </c>
      <c r="AK17" s="118">
        <f>'tab1 lvl'!AK17/'tab1 percent'!AK63</f>
        <v>0</v>
      </c>
      <c r="AL17" s="118">
        <f>'tab1 lvl'!AL17/'tab1 percent'!AL63</f>
        <v>0</v>
      </c>
      <c r="AM17" s="118">
        <f>'tab1 lvl'!AM17/'tab1 percent'!AM63</f>
        <v>0</v>
      </c>
      <c r="AN17" s="118">
        <f>'tab1 lvl'!AN17/'tab1 percent'!AN63</f>
        <v>0</v>
      </c>
      <c r="AO17" s="118">
        <f>'tab1 lvl'!AO17/'tab1 percent'!AO63</f>
        <v>0</v>
      </c>
      <c r="AP17" s="118">
        <f>'tab1 lvl'!AP17/'tab1 percent'!AP63</f>
        <v>0</v>
      </c>
      <c r="AQ17" s="118">
        <f>'tab1 lvl'!AQ17/'tab1 percent'!AQ63</f>
        <v>0</v>
      </c>
      <c r="AR17" s="118">
        <f>'tab1 lvl'!AR17/'tab1 percent'!AR63</f>
        <v>0</v>
      </c>
      <c r="AS17" s="118">
        <f>'tab1 lvl'!AS17/'tab1 percent'!AS63</f>
        <v>0</v>
      </c>
      <c r="AT17" s="118">
        <f>'tab1 lvl'!AT17/'tab1 percent'!AT63</f>
        <v>0</v>
      </c>
      <c r="AU17" s="118">
        <f>'tab1 lvl'!AU17/'tab1 percent'!AU63</f>
        <v>0</v>
      </c>
      <c r="AV17" s="118">
        <f>'tab1 lvl'!AV17/'tab1 percent'!AV63</f>
        <v>0</v>
      </c>
      <c r="AW17" s="118">
        <f>'tab1 lvl'!AW17/'tab1 percent'!AW63</f>
        <v>0</v>
      </c>
      <c r="AX17" s="118">
        <f>'tab1 lvl'!AX17/'tab1 percent'!AX63</f>
        <v>0</v>
      </c>
      <c r="AY17" s="118">
        <f>'tab1 lvl'!AY17/'tab1 percent'!AY63</f>
        <v>0</v>
      </c>
    </row>
    <row r="18" spans="1:51" ht="16.5">
      <c r="A18" s="2"/>
      <c r="B18" s="2"/>
      <c r="C18" s="2" t="s">
        <v>11</v>
      </c>
      <c r="D18" s="2"/>
      <c r="E18" s="118">
        <f>'tab1 lvl'!E18/'tab1 percent'!E63</f>
        <v>1.2494456643993358E-2</v>
      </c>
      <c r="F18" s="118">
        <f>'tab1 lvl'!F18/'tab1 percent'!F63</f>
        <v>1.1633958534971046E-2</v>
      </c>
      <c r="G18" s="118">
        <f>'tab1 lvl'!G18/'tab1 percent'!G63</f>
        <v>1.0695550918060522E-2</v>
      </c>
      <c r="H18" s="118">
        <f>'tab1 lvl'!H18/'tab1 percent'!H63</f>
        <v>9.4698716027056297E-3</v>
      </c>
      <c r="I18" s="118">
        <f>'tab1 lvl'!I18/'tab1 percent'!I63</f>
        <v>8.3911284499216567E-3</v>
      </c>
      <c r="J18" s="118">
        <f>'tab1 lvl'!J18/'tab1 percent'!J63</f>
        <v>8.0736786974507993E-3</v>
      </c>
      <c r="K18" s="118">
        <f>'tab1 lvl'!K18/'tab1 percent'!K63</f>
        <v>7.7594889989867962E-3</v>
      </c>
      <c r="L18" s="118">
        <f>'tab1 lvl'!L18/'tab1 percent'!L63</f>
        <v>6.8777218440332875E-3</v>
      </c>
      <c r="M18" s="118">
        <f>'tab1 lvl'!M18/'tab1 percent'!M63</f>
        <v>6.4264470319765907E-3</v>
      </c>
      <c r="N18" s="118">
        <f>'tab1 lvl'!N18/'tab1 percent'!N63</f>
        <v>2.6317878635850837E-3</v>
      </c>
      <c r="O18" s="118">
        <f>'tab1 lvl'!O18/'tab1 percent'!O63</f>
        <v>2.3814564585750626E-3</v>
      </c>
      <c r="P18" s="118">
        <f>'tab1 lvl'!P18/'tab1 percent'!P63</f>
        <v>1.2088538875378179E-3</v>
      </c>
      <c r="Q18" s="118">
        <f>'tab1 lvl'!Q18/'tab1 percent'!Q63</f>
        <v>1.1358552327180862E-3</v>
      </c>
      <c r="R18" s="118">
        <f>'tab1 lvl'!R18/'tab1 percent'!R63</f>
        <v>2.8386019967887926E-4</v>
      </c>
      <c r="S18" s="118">
        <f>'tab1 lvl'!S18/'tab1 percent'!S63</f>
        <v>2.6226692516692109E-4</v>
      </c>
      <c r="T18" s="118">
        <f>'tab1 lvl'!T18/'tab1 percent'!T63</f>
        <v>2.3833510238699637E-4</v>
      </c>
      <c r="U18" s="118">
        <f>'tab1 lvl'!U18/'tab1 percent'!U63</f>
        <v>2.3504297001449007E-4</v>
      </c>
      <c r="V18" s="118">
        <f>'tab1 lvl'!V18/'tab1 percent'!V63</f>
        <v>2.2648589884169672E-4</v>
      </c>
      <c r="W18" s="118">
        <f>'tab1 lvl'!W18/'tab1 percent'!W63</f>
        <v>2.0266043078370148E-4</v>
      </c>
      <c r="X18" s="118">
        <f>'tab1 lvl'!X18/'tab1 percent'!X63</f>
        <v>2.2413651989799637E-4</v>
      </c>
      <c r="Y18" s="118">
        <f>'tab1 lvl'!Y18/'tab1 percent'!Y63</f>
        <v>1.7989058664861349E-4</v>
      </c>
      <c r="Z18" s="118">
        <f>'tab1 lvl'!Z18/'tab1 percent'!Z63</f>
        <v>1.8237447120186085E-4</v>
      </c>
      <c r="AA18" s="118">
        <f>'tab1 lvl'!AA18/'tab1 percent'!AA63</f>
        <v>1.6000762040026723E-4</v>
      </c>
      <c r="AB18" s="118">
        <f>'tab1 lvl'!AB18/'tab1 percent'!AB63</f>
        <v>1.4873005548742403E-4</v>
      </c>
      <c r="AC18" s="118">
        <f>'tab1 lvl'!AC18/'tab1 percent'!AC63</f>
        <v>1.107732118229878E-4</v>
      </c>
      <c r="AD18" s="118">
        <f>'tab1 lvl'!AD18/'tab1 percent'!AD63</f>
        <v>1.1750423882270332E-4</v>
      </c>
      <c r="AE18" s="118">
        <f>'tab1 lvl'!AE18/'tab1 percent'!AE63</f>
        <v>8.6097813686899203E-5</v>
      </c>
      <c r="AF18" s="118">
        <f>'tab1 lvl'!AF18/'tab1 percent'!AF63</f>
        <v>8.5997987266034912E-5</v>
      </c>
      <c r="AG18" s="118">
        <f>'tab1 lvl'!AG18/'tab1 percent'!AG63</f>
        <v>5.4281770492876773E-5</v>
      </c>
      <c r="AH18" s="118">
        <f>'tab1 lvl'!AH18/'tab1 percent'!AH63</f>
        <v>5.4968556075302815E-5</v>
      </c>
      <c r="AI18" s="118">
        <f>'tab1 lvl'!AI18/'tab1 percent'!AI63</f>
        <v>2.8522161930746019E-5</v>
      </c>
      <c r="AJ18" s="118">
        <f>'tab1 lvl'!AJ18/'tab1 percent'!AJ63</f>
        <v>2.811932995396841E-5</v>
      </c>
      <c r="AK18" s="118">
        <f>'tab1 lvl'!AK18/'tab1 percent'!AK63</f>
        <v>0</v>
      </c>
      <c r="AL18" s="118">
        <f>'tab1 lvl'!AL18/'tab1 percent'!AL63</f>
        <v>0</v>
      </c>
      <c r="AM18" s="118">
        <f>'tab1 lvl'!AM18/'tab1 percent'!AM63</f>
        <v>0</v>
      </c>
      <c r="AN18" s="118">
        <f>'tab1 lvl'!AN18/'tab1 percent'!AN63</f>
        <v>0</v>
      </c>
      <c r="AO18" s="118">
        <f>'tab1 lvl'!AO18/'tab1 percent'!AO63</f>
        <v>0</v>
      </c>
      <c r="AP18" s="118">
        <f>'tab1 lvl'!AP18/'tab1 percent'!AP63</f>
        <v>0</v>
      </c>
      <c r="AQ18" s="118">
        <f>'tab1 lvl'!AQ18/'tab1 percent'!AQ63</f>
        <v>0</v>
      </c>
      <c r="AR18" s="118">
        <f>'tab1 lvl'!AR18/'tab1 percent'!AR63</f>
        <v>0</v>
      </c>
      <c r="AS18" s="118">
        <f>'tab1 lvl'!AS18/'tab1 percent'!AS63</f>
        <v>0</v>
      </c>
      <c r="AT18" s="118">
        <f>'tab1 lvl'!AT18/'tab1 percent'!AT63</f>
        <v>0</v>
      </c>
      <c r="AU18" s="118">
        <f>'tab1 lvl'!AU18/'tab1 percent'!AU63</f>
        <v>0</v>
      </c>
      <c r="AV18" s="118">
        <f>'tab1 lvl'!AV18/'tab1 percent'!AV63</f>
        <v>0</v>
      </c>
      <c r="AW18" s="118">
        <f>'tab1 lvl'!AW18/'tab1 percent'!AW63</f>
        <v>0</v>
      </c>
      <c r="AX18" s="118">
        <f>'tab1 lvl'!AX18/'tab1 percent'!AX63</f>
        <v>0</v>
      </c>
      <c r="AY18" s="118">
        <f>'tab1 lvl'!AY18/'tab1 percent'!AY63</f>
        <v>0</v>
      </c>
    </row>
    <row r="19" spans="1:51" ht="16.5">
      <c r="A19" s="2"/>
      <c r="B19" s="2"/>
      <c r="C19" s="2"/>
      <c r="D19" s="2"/>
      <c r="E19" s="118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2"/>
      <c r="AC19" s="2"/>
      <c r="AD19" s="2"/>
      <c r="AE19" s="2"/>
      <c r="AF19" s="2"/>
      <c r="AG19" s="2"/>
      <c r="AH19" s="2"/>
      <c r="AI19" s="2"/>
      <c r="AJ19" s="2"/>
      <c r="AK19" s="38"/>
      <c r="AL19" s="4"/>
      <c r="AM19" s="4"/>
      <c r="AN19" s="4"/>
      <c r="AO19" s="38"/>
      <c r="AP19" s="20"/>
      <c r="AQ19" s="20"/>
      <c r="AR19" s="3"/>
      <c r="AS19" s="4"/>
    </row>
    <row r="20" spans="1:51" ht="16.5">
      <c r="A20" s="39" t="s">
        <v>17</v>
      </c>
      <c r="B20" s="40" t="s">
        <v>89</v>
      </c>
      <c r="C20" s="40"/>
      <c r="D20" s="40"/>
      <c r="E20" s="131">
        <f>'tab1 lvl'!E20/'tab1 percent'!E63</f>
        <v>6.9804337833731453E-3</v>
      </c>
      <c r="F20" s="131">
        <f>'tab1 lvl'!F20/'tab1 percent'!F63</f>
        <v>7.4189293288665385E-3</v>
      </c>
      <c r="G20" s="131">
        <f>'tab1 lvl'!G20/'tab1 percent'!G63</f>
        <v>8.8487542513790533E-3</v>
      </c>
      <c r="H20" s="131">
        <f>'tab1 lvl'!H20/'tab1 percent'!H63</f>
        <v>1.3866009430839371E-3</v>
      </c>
      <c r="I20" s="131">
        <f>'tab1 lvl'!I20/'tab1 percent'!I63</f>
        <v>1.4329383516000702E-3</v>
      </c>
      <c r="J20" s="131">
        <f>'tab1 lvl'!J20/'tab1 percent'!J63</f>
        <v>2.1194963794748762E-3</v>
      </c>
      <c r="K20" s="131">
        <f>'tab1 lvl'!K20/'tab1 percent'!K63</f>
        <v>2.4679350250329402E-3</v>
      </c>
      <c r="L20" s="131">
        <f>'tab1 lvl'!L20/'tab1 percent'!L63</f>
        <v>0</v>
      </c>
      <c r="M20" s="131">
        <f>'tab1 lvl'!M20/'tab1 percent'!M63</f>
        <v>0</v>
      </c>
      <c r="N20" s="131">
        <f>'tab1 lvl'!N20/'tab1 percent'!N63</f>
        <v>0</v>
      </c>
      <c r="O20" s="131">
        <f>'tab1 lvl'!O20/'tab1 percent'!O63</f>
        <v>0</v>
      </c>
      <c r="P20" s="131">
        <f>'tab1 lvl'!P20/'tab1 percent'!P63</f>
        <v>0</v>
      </c>
      <c r="Q20" s="131">
        <f>'tab1 lvl'!Q20/'tab1 percent'!Q63</f>
        <v>0</v>
      </c>
      <c r="R20" s="131">
        <f>'tab1 lvl'!R20/'tab1 percent'!R63</f>
        <v>0</v>
      </c>
      <c r="S20" s="131">
        <f>'tab1 lvl'!S20/'tab1 percent'!S63</f>
        <v>0</v>
      </c>
      <c r="T20" s="131">
        <f>'tab1 lvl'!T20/'tab1 percent'!T63</f>
        <v>0</v>
      </c>
      <c r="U20" s="131">
        <f>'tab1 lvl'!U20/'tab1 percent'!U63</f>
        <v>0</v>
      </c>
      <c r="V20" s="131">
        <f>'tab1 lvl'!V20/'tab1 percent'!V63</f>
        <v>0</v>
      </c>
      <c r="W20" s="131">
        <f>'tab1 lvl'!W20/'tab1 percent'!W63</f>
        <v>0</v>
      </c>
      <c r="X20" s="131">
        <f>'tab1 lvl'!X20/'tab1 percent'!X63</f>
        <v>0</v>
      </c>
      <c r="Y20" s="131">
        <f>'tab1 lvl'!Y20/'tab1 percent'!Y63</f>
        <v>0</v>
      </c>
      <c r="Z20" s="131">
        <f>'tab1 lvl'!Z20/'tab1 percent'!Z63</f>
        <v>0</v>
      </c>
      <c r="AA20" s="131">
        <f>'tab1 lvl'!AA20/'tab1 percent'!AA63</f>
        <v>0</v>
      </c>
      <c r="AB20" s="131">
        <f>'tab1 lvl'!AB20/'tab1 percent'!AB63</f>
        <v>0</v>
      </c>
      <c r="AC20" s="131">
        <f>'tab1 lvl'!AC20/'tab1 percent'!AC63</f>
        <v>0</v>
      </c>
      <c r="AD20" s="131">
        <f>'tab1 lvl'!AD20/'tab1 percent'!AD63</f>
        <v>0</v>
      </c>
      <c r="AE20" s="131">
        <f>'tab1 lvl'!AE20/'tab1 percent'!AE63</f>
        <v>0</v>
      </c>
      <c r="AF20" s="131">
        <f>'tab1 lvl'!AF20/'tab1 percent'!AF63</f>
        <v>0</v>
      </c>
      <c r="AG20" s="131">
        <f>'tab1 lvl'!AG20/'tab1 percent'!AG63</f>
        <v>0</v>
      </c>
      <c r="AH20" s="131">
        <f>'tab1 lvl'!AH20/'tab1 percent'!AH63</f>
        <v>0</v>
      </c>
      <c r="AI20" s="131">
        <f>'tab1 lvl'!AI20/'tab1 percent'!AI63</f>
        <v>0</v>
      </c>
      <c r="AJ20" s="131">
        <f>'tab1 lvl'!AJ20/'tab1 percent'!AJ63</f>
        <v>0</v>
      </c>
      <c r="AK20" s="131">
        <f>'tab1 lvl'!AK20/'tab1 percent'!AK63</f>
        <v>0</v>
      </c>
      <c r="AL20" s="131">
        <f>'tab1 lvl'!AL20/'tab1 percent'!AL63</f>
        <v>0</v>
      </c>
      <c r="AM20" s="131">
        <f>'tab1 lvl'!AM20/'tab1 percent'!AM63</f>
        <v>0</v>
      </c>
      <c r="AN20" s="131">
        <f>'tab1 lvl'!AN20/'tab1 percent'!AN63</f>
        <v>0</v>
      </c>
      <c r="AO20" s="131">
        <f>'tab1 lvl'!AO20/'tab1 percent'!AO63</f>
        <v>0</v>
      </c>
      <c r="AP20" s="131">
        <f>'tab1 lvl'!AP20/'tab1 percent'!AP63</f>
        <v>0</v>
      </c>
      <c r="AQ20" s="131">
        <f>'tab1 lvl'!AQ20/'tab1 percent'!AQ63</f>
        <v>0</v>
      </c>
      <c r="AR20" s="131">
        <f>'tab1 lvl'!AR20/'tab1 percent'!AR63</f>
        <v>0</v>
      </c>
      <c r="AS20" s="131">
        <f>'tab1 lvl'!AS20/'tab1 percent'!AS63</f>
        <v>0</v>
      </c>
      <c r="AT20" s="131">
        <f>'tab1 lvl'!AT20/'tab1 percent'!AT63</f>
        <v>0</v>
      </c>
      <c r="AU20" s="131">
        <f>'tab1 lvl'!AU20/'tab1 percent'!AU63</f>
        <v>0</v>
      </c>
      <c r="AV20" s="131">
        <f>'tab1 lvl'!AV20/'tab1 percent'!AV63</f>
        <v>0</v>
      </c>
      <c r="AW20" s="131">
        <f>'tab1 lvl'!AW20/'tab1 percent'!AW63</f>
        <v>0</v>
      </c>
      <c r="AX20" s="131">
        <f>'tab1 lvl'!AX20/'tab1 percent'!AX63</f>
        <v>0</v>
      </c>
      <c r="AY20" s="131">
        <f>'tab1 lvl'!AY20/'tab1 percent'!AY63</f>
        <v>0</v>
      </c>
    </row>
    <row r="21" spans="1:51" ht="16.5">
      <c r="A21" s="41"/>
      <c r="B21" s="41"/>
      <c r="C21" s="41" t="s">
        <v>10</v>
      </c>
      <c r="D21" s="41"/>
      <c r="E21" s="132">
        <f>'tab1 lvl'!E21/'tab1 percent'!E63</f>
        <v>6.9804337833731453E-3</v>
      </c>
      <c r="F21" s="132">
        <f>'tab1 lvl'!F21/'tab1 percent'!F63</f>
        <v>7.4189293288665385E-3</v>
      </c>
      <c r="G21" s="132">
        <f>'tab1 lvl'!G21/'tab1 percent'!G63</f>
        <v>8.8487542513790533E-3</v>
      </c>
      <c r="H21" s="132">
        <f>'tab1 lvl'!H21/'tab1 percent'!H63</f>
        <v>1.3866009430839371E-3</v>
      </c>
      <c r="I21" s="132">
        <f>'tab1 lvl'!I21/'tab1 percent'!I63</f>
        <v>1.4329383516000702E-3</v>
      </c>
      <c r="J21" s="132">
        <f>'tab1 lvl'!J21/'tab1 percent'!J63</f>
        <v>2.1194963794748762E-3</v>
      </c>
      <c r="K21" s="132">
        <f>'tab1 lvl'!K21/'tab1 percent'!K63</f>
        <v>2.4679350250329402E-3</v>
      </c>
      <c r="L21" s="132">
        <f>'tab1 lvl'!L21/'tab1 percent'!L63</f>
        <v>0</v>
      </c>
      <c r="M21" s="132">
        <f>'tab1 lvl'!M21/'tab1 percent'!M63</f>
        <v>0</v>
      </c>
      <c r="N21" s="132">
        <f>'tab1 lvl'!N21/'tab1 percent'!N63</f>
        <v>0</v>
      </c>
      <c r="O21" s="132">
        <f>'tab1 lvl'!O21/'tab1 percent'!O63</f>
        <v>0</v>
      </c>
      <c r="P21" s="132">
        <f>'tab1 lvl'!P21/'tab1 percent'!P63</f>
        <v>0</v>
      </c>
      <c r="Q21" s="132">
        <f>'tab1 lvl'!Q21/'tab1 percent'!Q63</f>
        <v>0</v>
      </c>
      <c r="R21" s="132">
        <f>'tab1 lvl'!R21/'tab1 percent'!R63</f>
        <v>0</v>
      </c>
      <c r="S21" s="132">
        <f>'tab1 lvl'!S21/'tab1 percent'!S63</f>
        <v>0</v>
      </c>
      <c r="T21" s="132">
        <f>'tab1 lvl'!T21/'tab1 percent'!T63</f>
        <v>0</v>
      </c>
      <c r="U21" s="132">
        <f>'tab1 lvl'!U21/'tab1 percent'!U63</f>
        <v>0</v>
      </c>
      <c r="V21" s="132">
        <f>'tab1 lvl'!V21/'tab1 percent'!V63</f>
        <v>0</v>
      </c>
      <c r="W21" s="132">
        <f>'tab1 lvl'!W21/'tab1 percent'!W63</f>
        <v>0</v>
      </c>
      <c r="X21" s="132">
        <f>'tab1 lvl'!X21/'tab1 percent'!X63</f>
        <v>0</v>
      </c>
      <c r="Y21" s="132">
        <f>'tab1 lvl'!Y21/'tab1 percent'!Y63</f>
        <v>0</v>
      </c>
      <c r="Z21" s="132">
        <f>'tab1 lvl'!Z21/'tab1 percent'!Z63</f>
        <v>0</v>
      </c>
      <c r="AA21" s="132">
        <f>'tab1 lvl'!AA21/'tab1 percent'!AA63</f>
        <v>0</v>
      </c>
      <c r="AB21" s="132">
        <f>'tab1 lvl'!AB21/'tab1 percent'!AB63</f>
        <v>0</v>
      </c>
      <c r="AC21" s="132">
        <f>'tab1 lvl'!AC21/'tab1 percent'!AC63</f>
        <v>0</v>
      </c>
      <c r="AD21" s="132">
        <f>'tab1 lvl'!AD21/'tab1 percent'!AD63</f>
        <v>0</v>
      </c>
      <c r="AE21" s="132">
        <f>'tab1 lvl'!AE21/'tab1 percent'!AE63</f>
        <v>0</v>
      </c>
      <c r="AF21" s="132">
        <f>'tab1 lvl'!AF21/'tab1 percent'!AF63</f>
        <v>0</v>
      </c>
      <c r="AG21" s="132">
        <f>'tab1 lvl'!AG21/'tab1 percent'!AG63</f>
        <v>0</v>
      </c>
      <c r="AH21" s="132">
        <f>'tab1 lvl'!AH21/'tab1 percent'!AH63</f>
        <v>0</v>
      </c>
      <c r="AI21" s="132">
        <f>'tab1 lvl'!AI21/'tab1 percent'!AI63</f>
        <v>0</v>
      </c>
      <c r="AJ21" s="132">
        <f>'tab1 lvl'!AJ21/'tab1 percent'!AJ63</f>
        <v>0</v>
      </c>
      <c r="AK21" s="132">
        <f>'tab1 lvl'!AK21/'tab1 percent'!AK63</f>
        <v>0</v>
      </c>
      <c r="AL21" s="132">
        <f>'tab1 lvl'!AL21/'tab1 percent'!AL63</f>
        <v>0</v>
      </c>
      <c r="AM21" s="132">
        <f>'tab1 lvl'!AM21/'tab1 percent'!AM63</f>
        <v>0</v>
      </c>
      <c r="AN21" s="132">
        <f>'tab1 lvl'!AN21/'tab1 percent'!AN63</f>
        <v>0</v>
      </c>
      <c r="AO21" s="132">
        <f>'tab1 lvl'!AO21/'tab1 percent'!AO63</f>
        <v>0</v>
      </c>
      <c r="AP21" s="132">
        <f>'tab1 lvl'!AP21/'tab1 percent'!AP63</f>
        <v>0</v>
      </c>
      <c r="AQ21" s="132">
        <f>'tab1 lvl'!AQ21/'tab1 percent'!AQ63</f>
        <v>0</v>
      </c>
      <c r="AR21" s="132">
        <f>'tab1 lvl'!AR21/'tab1 percent'!AR63</f>
        <v>0</v>
      </c>
      <c r="AS21" s="132">
        <f>'tab1 lvl'!AS21/'tab1 percent'!AS63</f>
        <v>0</v>
      </c>
      <c r="AT21" s="132">
        <f>'tab1 lvl'!AT21/'tab1 percent'!AT63</f>
        <v>0</v>
      </c>
      <c r="AU21" s="132">
        <f>'tab1 lvl'!AU21/'tab1 percent'!AU63</f>
        <v>0</v>
      </c>
      <c r="AV21" s="132">
        <f>'tab1 lvl'!AV21/'tab1 percent'!AV63</f>
        <v>0</v>
      </c>
      <c r="AW21" s="132">
        <f>'tab1 lvl'!AW21/'tab1 percent'!AW63</f>
        <v>0</v>
      </c>
      <c r="AX21" s="132">
        <f>'tab1 lvl'!AX21/'tab1 percent'!AX63</f>
        <v>0</v>
      </c>
      <c r="AY21" s="132">
        <f>'tab1 lvl'!AY21/'tab1 percent'!AY63</f>
        <v>0</v>
      </c>
    </row>
    <row r="22" spans="1:51" ht="16.5">
      <c r="A22" s="41"/>
      <c r="B22" s="41"/>
      <c r="C22" s="41" t="s">
        <v>11</v>
      </c>
      <c r="D22" s="41"/>
      <c r="E22" s="132">
        <f>'tab1 lvl'!E22/'tab1 percent'!E63</f>
        <v>0</v>
      </c>
      <c r="F22" s="132">
        <f>'tab1 lvl'!F22/'tab1 percent'!F63</f>
        <v>0</v>
      </c>
      <c r="G22" s="132">
        <f>'tab1 lvl'!G22/'tab1 percent'!G63</f>
        <v>0</v>
      </c>
      <c r="H22" s="132">
        <f>'tab1 lvl'!H22/'tab1 percent'!H63</f>
        <v>0</v>
      </c>
      <c r="I22" s="132">
        <f>'tab1 lvl'!I22/'tab1 percent'!I63</f>
        <v>0</v>
      </c>
      <c r="J22" s="132">
        <f>'tab1 lvl'!J22/'tab1 percent'!J63</f>
        <v>0</v>
      </c>
      <c r="K22" s="132">
        <f>'tab1 lvl'!K22/'tab1 percent'!K63</f>
        <v>0</v>
      </c>
      <c r="L22" s="132">
        <f>'tab1 lvl'!L22/'tab1 percent'!L63</f>
        <v>0</v>
      </c>
      <c r="M22" s="132">
        <f>'tab1 lvl'!M22/'tab1 percent'!M63</f>
        <v>0</v>
      </c>
      <c r="N22" s="132">
        <f>'tab1 lvl'!N22/'tab1 percent'!N63</f>
        <v>0</v>
      </c>
      <c r="O22" s="132">
        <f>'tab1 lvl'!O22/'tab1 percent'!O63</f>
        <v>0</v>
      </c>
      <c r="P22" s="132">
        <f>'tab1 lvl'!P22/'tab1 percent'!P63</f>
        <v>0</v>
      </c>
      <c r="Q22" s="132">
        <f>'tab1 lvl'!Q22/'tab1 percent'!Q63</f>
        <v>0</v>
      </c>
      <c r="R22" s="132">
        <f>'tab1 lvl'!R22/'tab1 percent'!R63</f>
        <v>0</v>
      </c>
      <c r="S22" s="132">
        <f>'tab1 lvl'!S22/'tab1 percent'!S63</f>
        <v>0</v>
      </c>
      <c r="T22" s="132">
        <f>'tab1 lvl'!T22/'tab1 percent'!T63</f>
        <v>0</v>
      </c>
      <c r="U22" s="132">
        <f>'tab1 lvl'!U22/'tab1 percent'!U63</f>
        <v>0</v>
      </c>
      <c r="V22" s="132">
        <f>'tab1 lvl'!V22/'tab1 percent'!V63</f>
        <v>0</v>
      </c>
      <c r="W22" s="132">
        <f>'tab1 lvl'!W22/'tab1 percent'!W63</f>
        <v>0</v>
      </c>
      <c r="X22" s="132">
        <f>'tab1 lvl'!X22/'tab1 percent'!X63</f>
        <v>0</v>
      </c>
      <c r="Y22" s="132">
        <f>'tab1 lvl'!Y22/'tab1 percent'!Y63</f>
        <v>0</v>
      </c>
      <c r="Z22" s="132">
        <f>'tab1 lvl'!Z22/'tab1 percent'!Z63</f>
        <v>0</v>
      </c>
      <c r="AA22" s="132">
        <f>'tab1 lvl'!AA22/'tab1 percent'!AA63</f>
        <v>0</v>
      </c>
      <c r="AB22" s="132">
        <f>'tab1 lvl'!AB22/'tab1 percent'!AB63</f>
        <v>0</v>
      </c>
      <c r="AC22" s="132">
        <f>'tab1 lvl'!AC22/'tab1 percent'!AC63</f>
        <v>0</v>
      </c>
      <c r="AD22" s="132">
        <f>'tab1 lvl'!AD22/'tab1 percent'!AD63</f>
        <v>0</v>
      </c>
      <c r="AE22" s="132">
        <f>'tab1 lvl'!AE22/'tab1 percent'!AE63</f>
        <v>0</v>
      </c>
      <c r="AF22" s="132">
        <f>'tab1 lvl'!AF22/'tab1 percent'!AF63</f>
        <v>0</v>
      </c>
      <c r="AG22" s="132">
        <f>'tab1 lvl'!AG22/'tab1 percent'!AG63</f>
        <v>0</v>
      </c>
      <c r="AH22" s="132">
        <f>'tab1 lvl'!AH22/'tab1 percent'!AH63</f>
        <v>0</v>
      </c>
      <c r="AI22" s="132">
        <f>'tab1 lvl'!AI22/'tab1 percent'!AI63</f>
        <v>0</v>
      </c>
      <c r="AJ22" s="132">
        <f>'tab1 lvl'!AJ22/'tab1 percent'!AJ63</f>
        <v>0</v>
      </c>
      <c r="AK22" s="132">
        <f>'tab1 lvl'!AK22/'tab1 percent'!AK63</f>
        <v>0</v>
      </c>
      <c r="AL22" s="132">
        <f>'tab1 lvl'!AL22/'tab1 percent'!AL63</f>
        <v>0</v>
      </c>
      <c r="AM22" s="132">
        <f>'tab1 lvl'!AM22/'tab1 percent'!AM63</f>
        <v>0</v>
      </c>
      <c r="AN22" s="132">
        <f>'tab1 lvl'!AN22/'tab1 percent'!AN63</f>
        <v>0</v>
      </c>
      <c r="AO22" s="132">
        <f>'tab1 lvl'!AO22/'tab1 percent'!AO63</f>
        <v>0</v>
      </c>
      <c r="AP22" s="132">
        <f>'tab1 lvl'!AP22/'tab1 percent'!AP63</f>
        <v>0</v>
      </c>
      <c r="AQ22" s="132">
        <f>'tab1 lvl'!AQ22/'tab1 percent'!AQ63</f>
        <v>0</v>
      </c>
      <c r="AR22" s="132">
        <f>'tab1 lvl'!AR22/'tab1 percent'!AR63</f>
        <v>0</v>
      </c>
      <c r="AS22" s="132">
        <f>'tab1 lvl'!AS22/'tab1 percent'!AS63</f>
        <v>0</v>
      </c>
      <c r="AT22" s="132">
        <f>'tab1 lvl'!AT22/'tab1 percent'!AT63</f>
        <v>0</v>
      </c>
      <c r="AU22" s="132">
        <f>'tab1 lvl'!AU22/'tab1 percent'!AU63</f>
        <v>0</v>
      </c>
      <c r="AV22" s="132">
        <f>'tab1 lvl'!AV22/'tab1 percent'!AV63</f>
        <v>0</v>
      </c>
      <c r="AW22" s="132">
        <f>'tab1 lvl'!AW22/'tab1 percent'!AW63</f>
        <v>0</v>
      </c>
      <c r="AX22" s="132">
        <f>'tab1 lvl'!AX22/'tab1 percent'!AX63</f>
        <v>0</v>
      </c>
      <c r="AY22" s="132">
        <f>'tab1 lvl'!AY22/'tab1 percent'!AY63</f>
        <v>0</v>
      </c>
    </row>
    <row r="23" spans="1:51" ht="16.5">
      <c r="A23" s="2"/>
      <c r="B23" s="2"/>
      <c r="C23" s="2"/>
      <c r="D23" s="2"/>
      <c r="E23" s="118"/>
      <c r="F23" s="3"/>
      <c r="G23" s="3"/>
      <c r="H23" s="3"/>
      <c r="I23" s="3"/>
      <c r="J23" s="3"/>
      <c r="K23" s="3"/>
      <c r="L23" s="3"/>
      <c r="M23" s="2"/>
      <c r="N23" s="2"/>
      <c r="O23" s="2"/>
      <c r="P23" s="2"/>
      <c r="Q23" s="45"/>
      <c r="R23" s="2"/>
      <c r="S23" s="2"/>
      <c r="T23" s="2"/>
      <c r="U23" s="3"/>
      <c r="V23" s="3"/>
      <c r="W23" s="3"/>
      <c r="X23" s="3"/>
      <c r="Y23" s="3"/>
      <c r="Z23" s="3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4"/>
      <c r="AL23" s="4"/>
      <c r="AM23" s="4"/>
      <c r="AN23" s="4"/>
      <c r="AO23" s="3"/>
      <c r="AP23" s="4"/>
      <c r="AQ23" s="4"/>
      <c r="AR23" s="3"/>
      <c r="AS23" s="4"/>
    </row>
    <row r="24" spans="1:51" ht="16.5">
      <c r="A24" s="11" t="s">
        <v>18</v>
      </c>
      <c r="B24" s="12" t="s">
        <v>91</v>
      </c>
      <c r="C24" s="12"/>
      <c r="D24" s="12"/>
      <c r="E24" s="128">
        <f>'tab1 lvl'!E24/'tab1 percent'!E63</f>
        <v>9.6963204970274761E-3</v>
      </c>
      <c r="F24" s="128">
        <f>'tab1 lvl'!F24/'tab1 percent'!F63</f>
        <v>9.6748685405254383E-3</v>
      </c>
      <c r="G24" s="128">
        <f>'tab1 lvl'!G24/'tab1 percent'!G63</f>
        <v>9.782203470397351E-3</v>
      </c>
      <c r="H24" s="128">
        <f>'tab1 lvl'!H24/'tab1 percent'!H63</f>
        <v>9.6055589027104135E-3</v>
      </c>
      <c r="I24" s="128">
        <f>'tab1 lvl'!I24/'tab1 percent'!I63</f>
        <v>9.7234270635142145E-3</v>
      </c>
      <c r="J24" s="128">
        <f>'tab1 lvl'!J24/'tab1 percent'!J63</f>
        <v>9.7894745831877458E-3</v>
      </c>
      <c r="K24" s="128">
        <f>'tab1 lvl'!K24/'tab1 percent'!K63</f>
        <v>9.8272917388399043E-3</v>
      </c>
      <c r="L24" s="128">
        <f>'tab1 lvl'!L24/'tab1 percent'!L63</f>
        <v>9.6940197260693053E-3</v>
      </c>
      <c r="M24" s="128">
        <f>'tab1 lvl'!M24/'tab1 percent'!M63</f>
        <v>9.7178641095160816E-3</v>
      </c>
      <c r="N24" s="128">
        <f>'tab1 lvl'!N24/'tab1 percent'!N63</f>
        <v>8.8990700190209205E-3</v>
      </c>
      <c r="O24" s="128">
        <f>'tab1 lvl'!O24/'tab1 percent'!O63</f>
        <v>9.8434955098651543E-3</v>
      </c>
      <c r="P24" s="128">
        <f>'tab1 lvl'!P24/'tab1 percent'!P63</f>
        <v>1.0152563167139653E-2</v>
      </c>
      <c r="Q24" s="128">
        <f>'tab1 lvl'!Q24/'tab1 percent'!Q63</f>
        <v>1.0547037893358409E-2</v>
      </c>
      <c r="R24" s="128">
        <f>'tab1 lvl'!R24/'tab1 percent'!R63</f>
        <v>5.8945715580963308E-3</v>
      </c>
      <c r="S24" s="128">
        <f>'tab1 lvl'!S24/'tab1 percent'!S63</f>
        <v>6.6405840533070746E-3</v>
      </c>
      <c r="T24" s="128">
        <f>'tab1 lvl'!T24/'tab1 percent'!T63</f>
        <v>6.3186091822344179E-3</v>
      </c>
      <c r="U24" s="128">
        <f>'tab1 lvl'!U24/'tab1 percent'!U63</f>
        <v>6.3409550299690165E-3</v>
      </c>
      <c r="V24" s="128">
        <f>'tab1 lvl'!V24/'tab1 percent'!V63</f>
        <v>6.2098820775802798E-3</v>
      </c>
      <c r="W24" s="128">
        <f>'tab1 lvl'!W24/'tab1 percent'!W63</f>
        <v>6.3921888676433608E-3</v>
      </c>
      <c r="X24" s="128">
        <f>'tab1 lvl'!X24/'tab1 percent'!X63</f>
        <v>6.7261264318797939E-3</v>
      </c>
      <c r="Y24" s="128">
        <f>'tab1 lvl'!Y24/'tab1 percent'!Y63</f>
        <v>7.8994644567898266E-3</v>
      </c>
      <c r="Z24" s="128">
        <f>'tab1 lvl'!Z24/'tab1 percent'!Z63</f>
        <v>6.6676127876414146E-3</v>
      </c>
      <c r="AA24" s="128">
        <f>'tab1 lvl'!AA24/'tab1 percent'!AA63</f>
        <v>7.0079875288840202E-3</v>
      </c>
      <c r="AB24" s="128">
        <f>'tab1 lvl'!AB24/'tab1 percent'!AB63</f>
        <v>7.2456075072846321E-3</v>
      </c>
      <c r="AC24" s="128">
        <f>'tab1 lvl'!AC24/'tab1 percent'!AC63</f>
        <v>7.546480321631373E-3</v>
      </c>
      <c r="AD24" s="128">
        <f>'tab1 lvl'!AD24/'tab1 percent'!AD63</f>
        <v>7.7710524573411351E-3</v>
      </c>
      <c r="AE24" s="128">
        <f>'tab1 lvl'!AE24/'tab1 percent'!AE63</f>
        <v>7.7558483012406332E-3</v>
      </c>
      <c r="AF24" s="128">
        <f>'tab1 lvl'!AF24/'tab1 percent'!AF63</f>
        <v>7.6665033998031869E-3</v>
      </c>
      <c r="AG24" s="128">
        <f>'tab1 lvl'!AG24/'tab1 percent'!AG63</f>
        <v>7.5120163614696509E-3</v>
      </c>
      <c r="AH24" s="128">
        <f>'tab1 lvl'!AH24/'tab1 percent'!AH63</f>
        <v>7.045762519663901E-3</v>
      </c>
      <c r="AI24" s="128">
        <f>'tab1 lvl'!AI24/'tab1 percent'!AI63</f>
        <v>6.9817449180072221E-3</v>
      </c>
      <c r="AJ24" s="128">
        <f>'tab1 lvl'!AJ24/'tab1 percent'!AJ63</f>
        <v>7.2560565245032276E-3</v>
      </c>
      <c r="AK24" s="128">
        <f>'tab1 lvl'!AK24/'tab1 percent'!AK63</f>
        <v>7.151278551319965E-3</v>
      </c>
      <c r="AL24" s="128">
        <f>'tab1 lvl'!AL24/'tab1 percent'!AL63</f>
        <v>7.0409267993546349E-3</v>
      </c>
      <c r="AM24" s="128">
        <f>'tab1 lvl'!AM24/'tab1 percent'!AM63</f>
        <v>6.9150597645900921E-3</v>
      </c>
      <c r="AN24" s="128">
        <f>'tab1 lvl'!AN24/'tab1 percent'!AN63</f>
        <v>6.9458723455374724E-3</v>
      </c>
      <c r="AO24" s="128">
        <f>'tab1 lvl'!AO24/'tab1 percent'!AO63</f>
        <v>6.566011264027634E-3</v>
      </c>
      <c r="AP24" s="128">
        <f>'tab1 lvl'!AP24/'tab1 percent'!AP63</f>
        <v>6.446167998534192E-3</v>
      </c>
      <c r="AQ24" s="128">
        <f>'tab1 lvl'!AQ24/'tab1 percent'!AQ63</f>
        <v>6.2758672515900709E-3</v>
      </c>
      <c r="AR24" s="128">
        <f>'tab1 lvl'!AR24/'tab1 percent'!AR63</f>
        <v>6.1780686266455368E-3</v>
      </c>
      <c r="AS24" s="128">
        <f>'tab1 lvl'!AS24/'tab1 percent'!AS63</f>
        <v>5.8837953564007048E-3</v>
      </c>
      <c r="AT24" s="128">
        <f>'tab1 lvl'!AT24/'tab1 percent'!AT63</f>
        <v>5.7687606286597635E-3</v>
      </c>
      <c r="AU24" s="128">
        <f>'tab1 lvl'!AU24/'tab1 percent'!AU63</f>
        <v>5.5567500817279248E-3</v>
      </c>
      <c r="AV24" s="128">
        <f>'tab1 lvl'!AV24/'tab1 percent'!AV63</f>
        <v>5.4194462391953758E-3</v>
      </c>
      <c r="AW24" s="128">
        <f>'tab1 lvl'!AW24/'tab1 percent'!AW63</f>
        <v>5.2941810562098903E-3</v>
      </c>
      <c r="AX24" s="128">
        <f>'tab1 lvl'!AX24/'tab1 percent'!AX63</f>
        <v>5.2096231819650082E-3</v>
      </c>
      <c r="AY24" s="128">
        <f>'tab1 lvl'!AY24/'tab1 percent'!AY63</f>
        <v>5.2994714368087481E-3</v>
      </c>
    </row>
    <row r="25" spans="1:51" ht="16.5">
      <c r="A25" s="2"/>
      <c r="B25" s="2"/>
      <c r="C25" s="2" t="s">
        <v>10</v>
      </c>
      <c r="D25" s="2"/>
      <c r="E25" s="118">
        <f>'tab1 lvl'!E25/'tab1 percent'!E63</f>
        <v>9.6963204970274761E-3</v>
      </c>
      <c r="F25" s="118">
        <f>'tab1 lvl'!F25/'tab1 percent'!F63</f>
        <v>9.6748685405254383E-3</v>
      </c>
      <c r="G25" s="118">
        <f>'tab1 lvl'!G25/'tab1 percent'!G63</f>
        <v>9.782203470397351E-3</v>
      </c>
      <c r="H25" s="118">
        <f>'tab1 lvl'!H25/'tab1 percent'!H63</f>
        <v>9.6055589027104135E-3</v>
      </c>
      <c r="I25" s="118">
        <f>'tab1 lvl'!I25/'tab1 percent'!I63</f>
        <v>9.7234270635142145E-3</v>
      </c>
      <c r="J25" s="118">
        <f>'tab1 lvl'!J25/'tab1 percent'!J63</f>
        <v>9.7894745831877458E-3</v>
      </c>
      <c r="K25" s="118">
        <f>'tab1 lvl'!K25/'tab1 percent'!K63</f>
        <v>9.8272917388399043E-3</v>
      </c>
      <c r="L25" s="118">
        <f>'tab1 lvl'!L25/'tab1 percent'!L63</f>
        <v>9.6940197260693053E-3</v>
      </c>
      <c r="M25" s="118">
        <f>'tab1 lvl'!M25/'tab1 percent'!M63</f>
        <v>9.7178641095160816E-3</v>
      </c>
      <c r="N25" s="118">
        <f>'tab1 lvl'!N25/'tab1 percent'!N63</f>
        <v>8.8990700190209205E-3</v>
      </c>
      <c r="O25" s="118">
        <f>'tab1 lvl'!O25/'tab1 percent'!O63</f>
        <v>9.8434955098651543E-3</v>
      </c>
      <c r="P25" s="118">
        <f>'tab1 lvl'!P25/'tab1 percent'!P63</f>
        <v>1.0152563167139653E-2</v>
      </c>
      <c r="Q25" s="118">
        <f>'tab1 lvl'!Q25/'tab1 percent'!Q63</f>
        <v>1.0547037893358409E-2</v>
      </c>
      <c r="R25" s="118">
        <f>'tab1 lvl'!R25/'tab1 percent'!R63</f>
        <v>5.8945715580963308E-3</v>
      </c>
      <c r="S25" s="118">
        <f>'tab1 lvl'!S25/'tab1 percent'!S63</f>
        <v>6.6405840533070746E-3</v>
      </c>
      <c r="T25" s="118">
        <f>'tab1 lvl'!T25/'tab1 percent'!T63</f>
        <v>6.3186091822344179E-3</v>
      </c>
      <c r="U25" s="118">
        <f>'tab1 lvl'!U25/'tab1 percent'!U63</f>
        <v>6.3409550299690165E-3</v>
      </c>
      <c r="V25" s="118">
        <f>'tab1 lvl'!V25/'tab1 percent'!V63</f>
        <v>6.2098820775802798E-3</v>
      </c>
      <c r="W25" s="118">
        <f>'tab1 lvl'!W25/'tab1 percent'!W63</f>
        <v>6.3921888676433608E-3</v>
      </c>
      <c r="X25" s="118">
        <f>'tab1 lvl'!X25/'tab1 percent'!X63</f>
        <v>6.7261264318797939E-3</v>
      </c>
      <c r="Y25" s="118">
        <f>'tab1 lvl'!Y25/'tab1 percent'!Y63</f>
        <v>7.8994644567898266E-3</v>
      </c>
      <c r="Z25" s="118">
        <f>'tab1 lvl'!Z25/'tab1 percent'!Z63</f>
        <v>6.6676127876414146E-3</v>
      </c>
      <c r="AA25" s="118">
        <f>'tab1 lvl'!AA25/'tab1 percent'!AA63</f>
        <v>7.0079875288840202E-3</v>
      </c>
      <c r="AB25" s="118">
        <f>'tab1 lvl'!AB25/'tab1 percent'!AB63</f>
        <v>7.2456075072846321E-3</v>
      </c>
      <c r="AC25" s="118">
        <f>'tab1 lvl'!AC25/'tab1 percent'!AC63</f>
        <v>7.546480321631373E-3</v>
      </c>
      <c r="AD25" s="118">
        <f>'tab1 lvl'!AD25/'tab1 percent'!AD63</f>
        <v>7.7710524573411351E-3</v>
      </c>
      <c r="AE25" s="118">
        <f>'tab1 lvl'!AE25/'tab1 percent'!AE63</f>
        <v>7.7558483012406332E-3</v>
      </c>
      <c r="AF25" s="118">
        <f>'tab1 lvl'!AF25/'tab1 percent'!AF63</f>
        <v>7.6665033998031869E-3</v>
      </c>
      <c r="AG25" s="118">
        <f>'tab1 lvl'!AG25/'tab1 percent'!AG63</f>
        <v>7.5120163614696509E-3</v>
      </c>
      <c r="AH25" s="118">
        <f>'tab1 lvl'!AH25/'tab1 percent'!AH63</f>
        <v>7.045762519663901E-3</v>
      </c>
      <c r="AI25" s="118">
        <f>'tab1 lvl'!AI25/'tab1 percent'!AI63</f>
        <v>6.9817449180072221E-3</v>
      </c>
      <c r="AJ25" s="118">
        <f>'tab1 lvl'!AJ25/'tab1 percent'!AJ63</f>
        <v>7.2560565245032276E-3</v>
      </c>
      <c r="AK25" s="118">
        <f>'tab1 lvl'!AK25/'tab1 percent'!AK63</f>
        <v>7.151278551319965E-3</v>
      </c>
      <c r="AL25" s="118">
        <f>'tab1 lvl'!AL25/'tab1 percent'!AL63</f>
        <v>7.0409267993546349E-3</v>
      </c>
      <c r="AM25" s="118">
        <f>'tab1 lvl'!AM25/'tab1 percent'!AM63</f>
        <v>6.9150597645900921E-3</v>
      </c>
      <c r="AN25" s="118">
        <f>'tab1 lvl'!AN25/'tab1 percent'!AN63</f>
        <v>6.9458723455374724E-3</v>
      </c>
      <c r="AO25" s="118">
        <f>'tab1 lvl'!AO25/'tab1 percent'!AO63</f>
        <v>6.566011264027634E-3</v>
      </c>
      <c r="AP25" s="118">
        <f>'tab1 lvl'!AP25/'tab1 percent'!AP63</f>
        <v>6.446167998534192E-3</v>
      </c>
      <c r="AQ25" s="118">
        <f>'tab1 lvl'!AQ25/'tab1 percent'!AQ63</f>
        <v>6.2758672515900709E-3</v>
      </c>
      <c r="AR25" s="118">
        <f>'tab1 lvl'!AR25/'tab1 percent'!AR63</f>
        <v>6.1780686266455368E-3</v>
      </c>
      <c r="AS25" s="118">
        <f>'tab1 lvl'!AS25/'tab1 percent'!AS63</f>
        <v>5.8837953564007048E-3</v>
      </c>
      <c r="AT25" s="118">
        <f>'tab1 lvl'!AT25/'tab1 percent'!AT63</f>
        <v>5.7687606286597635E-3</v>
      </c>
      <c r="AU25" s="118">
        <f>'tab1 lvl'!AU25/'tab1 percent'!AU63</f>
        <v>5.5567500817279248E-3</v>
      </c>
      <c r="AV25" s="118">
        <f>'tab1 lvl'!AV25/'tab1 percent'!AV63</f>
        <v>5.4194462391953758E-3</v>
      </c>
      <c r="AW25" s="118">
        <f>'tab1 lvl'!AW25/'tab1 percent'!AW63</f>
        <v>5.2941810562098903E-3</v>
      </c>
      <c r="AX25" s="118">
        <f>'tab1 lvl'!AX25/'tab1 percent'!AX63</f>
        <v>5.2096231819650082E-3</v>
      </c>
      <c r="AY25" s="118">
        <f>'tab1 lvl'!AY25/'tab1 percent'!AY63</f>
        <v>5.2994714368087481E-3</v>
      </c>
    </row>
    <row r="26" spans="1:51" ht="16.5">
      <c r="A26" s="2"/>
      <c r="B26" s="2"/>
      <c r="C26" s="2" t="s">
        <v>11</v>
      </c>
      <c r="D26" s="2"/>
      <c r="E26" s="118">
        <f>'tab1 lvl'!E26/'tab1 percent'!E63</f>
        <v>0</v>
      </c>
      <c r="F26" s="118">
        <f>'tab1 lvl'!F26/'tab1 percent'!F63</f>
        <v>0</v>
      </c>
      <c r="G26" s="118">
        <f>'tab1 lvl'!G26/'tab1 percent'!G63</f>
        <v>0</v>
      </c>
      <c r="H26" s="118">
        <f>'tab1 lvl'!H26/'tab1 percent'!H63</f>
        <v>0</v>
      </c>
      <c r="I26" s="118">
        <f>'tab1 lvl'!I26/'tab1 percent'!I63</f>
        <v>0</v>
      </c>
      <c r="J26" s="118">
        <f>'tab1 lvl'!J26/'tab1 percent'!J63</f>
        <v>0</v>
      </c>
      <c r="K26" s="118">
        <f>'tab1 lvl'!K26/'tab1 percent'!K63</f>
        <v>0</v>
      </c>
      <c r="L26" s="118">
        <f>'tab1 lvl'!L26/'tab1 percent'!L63</f>
        <v>0</v>
      </c>
      <c r="M26" s="118">
        <f>'tab1 lvl'!M26/'tab1 percent'!M63</f>
        <v>0</v>
      </c>
      <c r="N26" s="118">
        <f>'tab1 lvl'!N26/'tab1 percent'!N63</f>
        <v>0</v>
      </c>
      <c r="O26" s="118">
        <f>'tab1 lvl'!O26/'tab1 percent'!O63</f>
        <v>0</v>
      </c>
      <c r="P26" s="118">
        <f>'tab1 lvl'!P26/'tab1 percent'!P63</f>
        <v>0</v>
      </c>
      <c r="Q26" s="118">
        <f>'tab1 lvl'!Q26/'tab1 percent'!Q63</f>
        <v>0</v>
      </c>
      <c r="R26" s="118">
        <f>'tab1 lvl'!R26/'tab1 percent'!R63</f>
        <v>0</v>
      </c>
      <c r="S26" s="118">
        <f>'tab1 lvl'!S26/'tab1 percent'!S63</f>
        <v>0</v>
      </c>
      <c r="T26" s="118">
        <f>'tab1 lvl'!T26/'tab1 percent'!T63</f>
        <v>0</v>
      </c>
      <c r="U26" s="118">
        <f>'tab1 lvl'!U26/'tab1 percent'!U63</f>
        <v>0</v>
      </c>
      <c r="V26" s="118">
        <f>'tab1 lvl'!V26/'tab1 percent'!V63</f>
        <v>0</v>
      </c>
      <c r="W26" s="118">
        <f>'tab1 lvl'!W26/'tab1 percent'!W63</f>
        <v>0</v>
      </c>
      <c r="X26" s="118">
        <f>'tab1 lvl'!X26/'tab1 percent'!X63</f>
        <v>0</v>
      </c>
      <c r="Y26" s="118">
        <f>'tab1 lvl'!Y26/'tab1 percent'!Y63</f>
        <v>0</v>
      </c>
      <c r="Z26" s="118">
        <f>'tab1 lvl'!Z26/'tab1 percent'!Z63</f>
        <v>0</v>
      </c>
      <c r="AA26" s="118">
        <f>'tab1 lvl'!AA26/'tab1 percent'!AA63</f>
        <v>0</v>
      </c>
      <c r="AB26" s="118">
        <f>'tab1 lvl'!AB26/'tab1 percent'!AB63</f>
        <v>0</v>
      </c>
      <c r="AC26" s="118">
        <f>'tab1 lvl'!AC26/'tab1 percent'!AC63</f>
        <v>0</v>
      </c>
      <c r="AD26" s="118">
        <f>'tab1 lvl'!AD26/'tab1 percent'!AD63</f>
        <v>0</v>
      </c>
      <c r="AE26" s="118">
        <f>'tab1 lvl'!AE26/'tab1 percent'!AE63</f>
        <v>0</v>
      </c>
      <c r="AF26" s="118">
        <f>'tab1 lvl'!AF26/'tab1 percent'!AF63</f>
        <v>0</v>
      </c>
      <c r="AG26" s="118">
        <f>'tab1 lvl'!AG26/'tab1 percent'!AG63</f>
        <v>0</v>
      </c>
      <c r="AH26" s="118">
        <f>'tab1 lvl'!AH26/'tab1 percent'!AH63</f>
        <v>0</v>
      </c>
      <c r="AI26" s="118">
        <f>'tab1 lvl'!AI26/'tab1 percent'!AI63</f>
        <v>0</v>
      </c>
      <c r="AJ26" s="118">
        <f>'tab1 lvl'!AJ26/'tab1 percent'!AJ63</f>
        <v>0</v>
      </c>
      <c r="AK26" s="118">
        <f>'tab1 lvl'!AK26/'tab1 percent'!AK63</f>
        <v>0</v>
      </c>
      <c r="AL26" s="118">
        <f>'tab1 lvl'!AL26/'tab1 percent'!AL63</f>
        <v>0</v>
      </c>
      <c r="AM26" s="118">
        <f>'tab1 lvl'!AM26/'tab1 percent'!AM63</f>
        <v>0</v>
      </c>
      <c r="AN26" s="118">
        <f>'tab1 lvl'!AN26/'tab1 percent'!AN63</f>
        <v>0</v>
      </c>
      <c r="AO26" s="118">
        <f>'tab1 lvl'!AO26/'tab1 percent'!AO63</f>
        <v>0</v>
      </c>
      <c r="AP26" s="118">
        <f>'tab1 lvl'!AP26/'tab1 percent'!AP63</f>
        <v>0</v>
      </c>
      <c r="AQ26" s="118">
        <f>'tab1 lvl'!AQ26/'tab1 percent'!AQ63</f>
        <v>0</v>
      </c>
      <c r="AR26" s="118">
        <f>'tab1 lvl'!AR26/'tab1 percent'!AR63</f>
        <v>0</v>
      </c>
      <c r="AS26" s="118">
        <f>'tab1 lvl'!AS26/'tab1 percent'!AS63</f>
        <v>0</v>
      </c>
      <c r="AT26" s="118">
        <f>'tab1 lvl'!AT26/'tab1 percent'!AT63</f>
        <v>0</v>
      </c>
      <c r="AU26" s="118">
        <f>'tab1 lvl'!AU26/'tab1 percent'!AU63</f>
        <v>0</v>
      </c>
      <c r="AV26" s="118">
        <f>'tab1 lvl'!AV26/'tab1 percent'!AV63</f>
        <v>0</v>
      </c>
      <c r="AW26" s="118">
        <f>'tab1 lvl'!AW26/'tab1 percent'!AW63</f>
        <v>0</v>
      </c>
      <c r="AX26" s="118">
        <f>'tab1 lvl'!AX26/'tab1 percent'!AX63</f>
        <v>0</v>
      </c>
      <c r="AY26" s="118">
        <f>'tab1 lvl'!AY26/'tab1 percent'!AY63</f>
        <v>0</v>
      </c>
    </row>
    <row r="27" spans="1:51" ht="16.5">
      <c r="A27" s="2"/>
      <c r="B27" s="2"/>
      <c r="C27" s="2"/>
      <c r="D27" s="2"/>
      <c r="E27" s="118"/>
      <c r="F27" s="3"/>
      <c r="G27" s="3"/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3"/>
      <c r="V27" s="3"/>
      <c r="W27" s="3"/>
      <c r="X27" s="3"/>
      <c r="Y27" s="3"/>
      <c r="Z27" s="3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4"/>
      <c r="AL27" s="4"/>
      <c r="AM27" s="4"/>
      <c r="AN27" s="4"/>
      <c r="AO27" s="38"/>
      <c r="AP27" s="4"/>
      <c r="AQ27" s="4"/>
      <c r="AR27" s="4"/>
      <c r="AS27" s="4"/>
    </row>
    <row r="28" spans="1:51" ht="16.5">
      <c r="A28" s="11" t="s">
        <v>19</v>
      </c>
      <c r="B28" s="12" t="s">
        <v>20</v>
      </c>
      <c r="C28" s="12"/>
      <c r="D28" s="12"/>
      <c r="E28" s="128">
        <f>'tab1 lvl'!E28/'tab1 percent'!E63</f>
        <v>0.70851883665413529</v>
      </c>
      <c r="F28" s="128">
        <f>'tab1 lvl'!F28/'tab1 percent'!F63</f>
        <v>0.69066760475617206</v>
      </c>
      <c r="G28" s="128">
        <f>'tab1 lvl'!G28/'tab1 percent'!G63</f>
        <v>0.70342314342378132</v>
      </c>
      <c r="H28" s="128">
        <f>'tab1 lvl'!H28/'tab1 percent'!H63</f>
        <v>0.68389859103767547</v>
      </c>
      <c r="I28" s="128">
        <f>'tab1 lvl'!I28/'tab1 percent'!I63</f>
        <v>0.67594755056444733</v>
      </c>
      <c r="J28" s="128">
        <f>'tab1 lvl'!J28/'tab1 percent'!J63</f>
        <v>0.66717347004346816</v>
      </c>
      <c r="K28" s="128">
        <f>'tab1 lvl'!K28/'tab1 percent'!K63</f>
        <v>0.66948445538839474</v>
      </c>
      <c r="L28" s="128">
        <f>'tab1 lvl'!L28/'tab1 percent'!L63</f>
        <v>0.61904724330934791</v>
      </c>
      <c r="M28" s="128">
        <f>'tab1 lvl'!M28/'tab1 percent'!M63</f>
        <v>0.61236032992071932</v>
      </c>
      <c r="N28" s="128">
        <f>'tab1 lvl'!N28/'tab1 percent'!N63</f>
        <v>0.59433143805246846</v>
      </c>
      <c r="O28" s="128">
        <f>'tab1 lvl'!O28/'tab1 percent'!O63</f>
        <v>0.56941652457021508</v>
      </c>
      <c r="P28" s="128">
        <f>'tab1 lvl'!P28/'tab1 percent'!P63</f>
        <v>0.5439864908648212</v>
      </c>
      <c r="Q28" s="128">
        <f>'tab1 lvl'!Q28/'tab1 percent'!Q63</f>
        <v>0.53913383210618426</v>
      </c>
      <c r="R28" s="128">
        <f>'tab1 lvl'!R28/'tab1 percent'!R63</f>
        <v>0.49632980550352096</v>
      </c>
      <c r="S28" s="128">
        <f>'tab1 lvl'!S28/'tab1 percent'!S63</f>
        <v>0.49657231204095875</v>
      </c>
      <c r="T28" s="128">
        <f>'tab1 lvl'!T28/'tab1 percent'!T63</f>
        <v>0.46764199037889975</v>
      </c>
      <c r="U28" s="128">
        <f>'tab1 lvl'!U28/'tab1 percent'!U63</f>
        <v>0.46923452240253333</v>
      </c>
      <c r="V28" s="128">
        <f>'tab1 lvl'!V28/'tab1 percent'!V63</f>
        <v>0.46823642942560312</v>
      </c>
      <c r="W28" s="128">
        <f>'tab1 lvl'!W28/'tab1 percent'!W63</f>
        <v>0.46917728183693236</v>
      </c>
      <c r="X28" s="128">
        <f>'tab1 lvl'!X28/'tab1 percent'!X63</f>
        <v>0.47388141595292282</v>
      </c>
      <c r="Y28" s="128">
        <f>'tab1 lvl'!Y28/'tab1 percent'!Y63</f>
        <v>0.4716874376717986</v>
      </c>
      <c r="Z28" s="128">
        <f>'tab1 lvl'!Z28/'tab1 percent'!Z63</f>
        <v>0.46726793895340246</v>
      </c>
      <c r="AA28" s="128">
        <f>'tab1 lvl'!AA28/'tab1 percent'!AA63</f>
        <v>0.47795140315146262</v>
      </c>
      <c r="AB28" s="128">
        <f>'tab1 lvl'!AB28/'tab1 percent'!AB63</f>
        <v>0.47796017223578996</v>
      </c>
      <c r="AC28" s="128">
        <f>'tab1 lvl'!AC28/'tab1 percent'!AC63</f>
        <v>0.46301031039153479</v>
      </c>
      <c r="AD28" s="128">
        <f>'tab1 lvl'!AD28/'tab1 percent'!AD63</f>
        <v>0.46498257308001406</v>
      </c>
      <c r="AE28" s="128">
        <f>'tab1 lvl'!AE28/'tab1 percent'!AE63</f>
        <v>0.46629843721496517</v>
      </c>
      <c r="AF28" s="128">
        <f>'tab1 lvl'!AF28/'tab1 percent'!AF63</f>
        <v>0.45698245247264946</v>
      </c>
      <c r="AG28" s="128">
        <f>'tab1 lvl'!AG28/'tab1 percent'!AG63</f>
        <v>0.47003361758408557</v>
      </c>
      <c r="AH28" s="128">
        <f>'tab1 lvl'!AH28/'tab1 percent'!AH63</f>
        <v>0.47126374095411955</v>
      </c>
      <c r="AI28" s="128">
        <f>'tab1 lvl'!AI28/'tab1 percent'!AI63</f>
        <v>0.47270108674212968</v>
      </c>
      <c r="AJ28" s="128">
        <f>'tab1 lvl'!AJ28/'tab1 percent'!AJ63</f>
        <v>0.45663843000547988</v>
      </c>
      <c r="AK28" s="128">
        <f>'tab1 lvl'!AK28/'tab1 percent'!AK63</f>
        <v>0.46858712605552333</v>
      </c>
      <c r="AL28" s="128">
        <f>'tab1 lvl'!AL28/'tab1 percent'!AL63</f>
        <v>0.45574241443310642</v>
      </c>
      <c r="AM28" s="128">
        <f>'tab1 lvl'!AM28/'tab1 percent'!AM63</f>
        <v>0.44557944477623557</v>
      </c>
      <c r="AN28" s="128">
        <f>'tab1 lvl'!AN28/'tab1 percent'!AN63</f>
        <v>0.44934219574881157</v>
      </c>
      <c r="AO28" s="128">
        <f>'tab1 lvl'!AO28/'tab1 percent'!AO63</f>
        <v>0.4274737874589305</v>
      </c>
      <c r="AP28" s="128">
        <f>'tab1 lvl'!AP28/'tab1 percent'!AP63</f>
        <v>0.43263688141010082</v>
      </c>
      <c r="AQ28" s="128">
        <f>'tab1 lvl'!AQ28/'tab1 percent'!AQ63</f>
        <v>0.43819065597991852</v>
      </c>
      <c r="AR28" s="128">
        <f>'tab1 lvl'!AR28/'tab1 percent'!AR63</f>
        <v>0.43358106401248164</v>
      </c>
      <c r="AS28" s="128">
        <f>'tab1 lvl'!AS28/'tab1 percent'!AS63</f>
        <v>0.42184162490185334</v>
      </c>
      <c r="AT28" s="128">
        <f>'tab1 lvl'!AT28/'tab1 percent'!AT63</f>
        <v>0.41298194018051404</v>
      </c>
      <c r="AU28" s="128">
        <f>'tab1 lvl'!AU28/'tab1 percent'!AU63</f>
        <v>0.4115910700918281</v>
      </c>
      <c r="AV28" s="128">
        <f>'tab1 lvl'!AV28/'tab1 percent'!AV63</f>
        <v>0.40274402614025473</v>
      </c>
      <c r="AW28" s="128">
        <f>'tab1 lvl'!AW28/'tab1 percent'!AW63</f>
        <v>0.40136690815148574</v>
      </c>
      <c r="AX28" s="128">
        <f>'tab1 lvl'!AX28/'tab1 percent'!AX63</f>
        <v>0.39937783024729973</v>
      </c>
      <c r="AY28" s="128">
        <f>'tab1 lvl'!AY28/'tab1 percent'!AY63</f>
        <v>0.40546774155163884</v>
      </c>
    </row>
    <row r="29" spans="1:51" ht="16.5">
      <c r="A29" s="2"/>
      <c r="B29" s="2"/>
      <c r="C29" s="2" t="s">
        <v>10</v>
      </c>
      <c r="D29" s="2"/>
      <c r="E29" s="118">
        <f>'tab1 lvl'!E29/'tab1 percent'!E63</f>
        <v>0.33198193343523968</v>
      </c>
      <c r="F29" s="118">
        <f>'tab1 lvl'!F29/'tab1 percent'!F63</f>
        <v>0.3255742331906652</v>
      </c>
      <c r="G29" s="118">
        <f>'tab1 lvl'!G29/'tab1 percent'!G63</f>
        <v>0.33644235117106686</v>
      </c>
      <c r="H29" s="118">
        <f>'tab1 lvl'!H29/'tab1 percent'!H63</f>
        <v>0.32140579267191166</v>
      </c>
      <c r="I29" s="118">
        <f>'tab1 lvl'!I29/'tab1 percent'!I63</f>
        <v>0.32292130247628764</v>
      </c>
      <c r="J29" s="118">
        <f>'tab1 lvl'!J29/'tab1 percent'!J63</f>
        <v>0.31510671677337504</v>
      </c>
      <c r="K29" s="118">
        <f>'tab1 lvl'!K29/'tab1 percent'!K63</f>
        <v>0.32284010994107043</v>
      </c>
      <c r="L29" s="118">
        <f>'tab1 lvl'!L29/'tab1 percent'!L63</f>
        <v>0.30922380881505701</v>
      </c>
      <c r="M29" s="118">
        <f>'tab1 lvl'!M29/'tab1 percent'!M63</f>
        <v>0.30241370819634594</v>
      </c>
      <c r="N29" s="118">
        <f>'tab1 lvl'!N29/'tab1 percent'!N63</f>
        <v>0.28482419033948048</v>
      </c>
      <c r="O29" s="118">
        <f>'tab1 lvl'!O29/'tab1 percent'!O63</f>
        <v>0.27899550243303251</v>
      </c>
      <c r="P29" s="118">
        <f>'tab1 lvl'!P29/'tab1 percent'!P63</f>
        <v>0.2727165126903297</v>
      </c>
      <c r="Q29" s="118">
        <f>'tab1 lvl'!Q29/'tab1 percent'!Q63</f>
        <v>0.26488146766349069</v>
      </c>
      <c r="R29" s="118">
        <f>'tab1 lvl'!R29/'tab1 percent'!R63</f>
        <v>0.24336451406633977</v>
      </c>
      <c r="S29" s="118">
        <f>'tab1 lvl'!S29/'tab1 percent'!S63</f>
        <v>0.25440512705073426</v>
      </c>
      <c r="T29" s="118">
        <f>'tab1 lvl'!T29/'tab1 percent'!T63</f>
        <v>0.24863844919897091</v>
      </c>
      <c r="U29" s="118">
        <f>'tab1 lvl'!U29/'tab1 percent'!U63</f>
        <v>0.24259624341856936</v>
      </c>
      <c r="V29" s="118">
        <f>'tab1 lvl'!V29/'tab1 percent'!V63</f>
        <v>0.23960512569051656</v>
      </c>
      <c r="W29" s="118">
        <f>'tab1 lvl'!W29/'tab1 percent'!W63</f>
        <v>0.2390119711868314</v>
      </c>
      <c r="X29" s="118">
        <f>'tab1 lvl'!X29/'tab1 percent'!X63</f>
        <v>0.24004397409814368</v>
      </c>
      <c r="Y29" s="118">
        <f>'tab1 lvl'!Y29/'tab1 percent'!Y63</f>
        <v>0.23623849336218053</v>
      </c>
      <c r="Z29" s="118">
        <f>'tab1 lvl'!Z29/'tab1 percent'!Z63</f>
        <v>0.23220263472790664</v>
      </c>
      <c r="AA29" s="118">
        <f>'tab1 lvl'!AA29/'tab1 percent'!AA63</f>
        <v>0.23594463309830388</v>
      </c>
      <c r="AB29" s="118">
        <f>'tab1 lvl'!AB29/'tab1 percent'!AB63</f>
        <v>0.23825266158045524</v>
      </c>
      <c r="AC29" s="118">
        <f>'tab1 lvl'!AC29/'tab1 percent'!AC63</f>
        <v>0.23051131880385167</v>
      </c>
      <c r="AD29" s="118">
        <f>'tab1 lvl'!AD29/'tab1 percent'!AD63</f>
        <v>0.2323769471325898</v>
      </c>
      <c r="AE29" s="118">
        <f>'tab1 lvl'!AE29/'tab1 percent'!AE63</f>
        <v>0.24206533323231011</v>
      </c>
      <c r="AF29" s="118">
        <f>'tab1 lvl'!AF29/'tab1 percent'!AF63</f>
        <v>0.24125586107039279</v>
      </c>
      <c r="AG29" s="118">
        <f>'tab1 lvl'!AG29/'tab1 percent'!AG63</f>
        <v>0.24819060886873506</v>
      </c>
      <c r="AH29" s="118">
        <f>'tab1 lvl'!AH29/'tab1 percent'!AH63</f>
        <v>0.25234602237947934</v>
      </c>
      <c r="AI29" s="118">
        <f>'tab1 lvl'!AI29/'tab1 percent'!AI63</f>
        <v>0.25320605842260252</v>
      </c>
      <c r="AJ29" s="118">
        <f>'tab1 lvl'!AJ29/'tab1 percent'!AJ63</f>
        <v>0.24864144516586523</v>
      </c>
      <c r="AK29" s="118">
        <f>'tab1 lvl'!AK29/'tab1 percent'!AK63</f>
        <v>0.25871986267062475</v>
      </c>
      <c r="AL29" s="118">
        <f>'tab1 lvl'!AL29/'tab1 percent'!AL63</f>
        <v>0.25223098232506808</v>
      </c>
      <c r="AM29" s="118">
        <f>'tab1 lvl'!AM29/'tab1 percent'!AM63</f>
        <v>0.24873634078211779</v>
      </c>
      <c r="AN29" s="118">
        <f>'tab1 lvl'!AN29/'tab1 percent'!AN63</f>
        <v>0.27012497676694325</v>
      </c>
      <c r="AO29" s="118">
        <f>'tab1 lvl'!AO29/'tab1 percent'!AO63</f>
        <v>0.26027206262150343</v>
      </c>
      <c r="AP29" s="118">
        <f>'tab1 lvl'!AP29/'tab1 percent'!AP63</f>
        <v>0.2626296513106659</v>
      </c>
      <c r="AQ29" s="118">
        <f>'tab1 lvl'!AQ29/'tab1 percent'!AQ63</f>
        <v>0.27342029214967484</v>
      </c>
      <c r="AR29" s="118">
        <f>'tab1 lvl'!AR29/'tab1 percent'!AR63</f>
        <v>0.27169883375064263</v>
      </c>
      <c r="AS29" s="118">
        <f>'tab1 lvl'!AS29/'tab1 percent'!AS63</f>
        <v>0.26165614424294653</v>
      </c>
      <c r="AT29" s="118">
        <f>'tab1 lvl'!AT29/'tab1 percent'!AT63</f>
        <v>0.26051565810280614</v>
      </c>
      <c r="AU29" s="118">
        <f>'tab1 lvl'!AU29/'tab1 percent'!AU63</f>
        <v>0.25869761190402896</v>
      </c>
      <c r="AV29" s="118">
        <f>'tab1 lvl'!AV29/'tab1 percent'!AV63</f>
        <v>0.25748312138039897</v>
      </c>
      <c r="AW29" s="118">
        <f>'tab1 lvl'!AW29/'tab1 percent'!AW63</f>
        <v>0.25635199066059317</v>
      </c>
      <c r="AX29" s="118">
        <f>'tab1 lvl'!AX29/'tab1 percent'!AX63</f>
        <v>0.25310894513603299</v>
      </c>
      <c r="AY29" s="118">
        <f>'tab1 lvl'!AY29/'tab1 percent'!AY63</f>
        <v>0.25515232850596742</v>
      </c>
    </row>
    <row r="30" spans="1:51" ht="16.5">
      <c r="A30" s="2"/>
      <c r="B30" s="2"/>
      <c r="C30" s="2" t="s">
        <v>11</v>
      </c>
      <c r="D30" s="25"/>
      <c r="E30" s="118">
        <f>'tab1 lvl'!E30/'tab1 percent'!E63</f>
        <v>0.3765369032188956</v>
      </c>
      <c r="F30" s="118">
        <f>'tab1 lvl'!F30/'tab1 percent'!F63</f>
        <v>0.36509337156550686</v>
      </c>
      <c r="G30" s="118">
        <f>'tab1 lvl'!G30/'tab1 percent'!G63</f>
        <v>0.36698079225271452</v>
      </c>
      <c r="H30" s="118">
        <f>'tab1 lvl'!H30/'tab1 percent'!H63</f>
        <v>0.36249279836576381</v>
      </c>
      <c r="I30" s="118">
        <f>'tab1 lvl'!I30/'tab1 percent'!I63</f>
        <v>0.35302624808815963</v>
      </c>
      <c r="J30" s="118">
        <f>'tab1 lvl'!J30/'tab1 percent'!J63</f>
        <v>0.35206675327009312</v>
      </c>
      <c r="K30" s="118">
        <f>'tab1 lvl'!K30/'tab1 percent'!K63</f>
        <v>0.34664434544732431</v>
      </c>
      <c r="L30" s="118">
        <f>'tab1 lvl'!L30/'tab1 percent'!L63</f>
        <v>0.30982343449429089</v>
      </c>
      <c r="M30" s="118">
        <f>'tab1 lvl'!M30/'tab1 percent'!M63</f>
        <v>0.30994662172437343</v>
      </c>
      <c r="N30" s="118">
        <f>'tab1 lvl'!N30/'tab1 percent'!N63</f>
        <v>0.30950724771298804</v>
      </c>
      <c r="O30" s="118">
        <f>'tab1 lvl'!O30/'tab1 percent'!O63</f>
        <v>0.29042102213718257</v>
      </c>
      <c r="P30" s="118">
        <f>'tab1 lvl'!P30/'tab1 percent'!P63</f>
        <v>0.27126997817449156</v>
      </c>
      <c r="Q30" s="118">
        <f>'tab1 lvl'!Q30/'tab1 percent'!Q63</f>
        <v>0.27425236444269357</v>
      </c>
      <c r="R30" s="118">
        <f>'tab1 lvl'!R30/'tab1 percent'!R63</f>
        <v>0.25296529143718127</v>
      </c>
      <c r="S30" s="118">
        <f>'tab1 lvl'!S30/'tab1 percent'!S63</f>
        <v>0.24216718499022449</v>
      </c>
      <c r="T30" s="118">
        <f>'tab1 lvl'!T30/'tab1 percent'!T63</f>
        <v>0.21900354117992879</v>
      </c>
      <c r="U30" s="118">
        <f>'tab1 lvl'!U30/'tab1 percent'!U63</f>
        <v>0.22663827898396399</v>
      </c>
      <c r="V30" s="118">
        <f>'tab1 lvl'!V30/'tab1 percent'!V63</f>
        <v>0.22863130373508656</v>
      </c>
      <c r="W30" s="118">
        <f>'tab1 lvl'!W30/'tab1 percent'!W63</f>
        <v>0.2301653106501009</v>
      </c>
      <c r="X30" s="118">
        <f>'tab1 lvl'!X30/'tab1 percent'!X63</f>
        <v>0.23383744185477912</v>
      </c>
      <c r="Y30" s="118">
        <f>'tab1 lvl'!Y30/'tab1 percent'!Y63</f>
        <v>0.23544894430961807</v>
      </c>
      <c r="Z30" s="118">
        <f>'tab1 lvl'!Z30/'tab1 percent'!Z63</f>
        <v>0.23506530422549582</v>
      </c>
      <c r="AA30" s="118">
        <f>'tab1 lvl'!AA30/'tab1 percent'!AA63</f>
        <v>0.24200677005315871</v>
      </c>
      <c r="AB30" s="118">
        <f>'tab1 lvl'!AB30/'tab1 percent'!AB63</f>
        <v>0.23970751065533469</v>
      </c>
      <c r="AC30" s="118">
        <f>'tab1 lvl'!AC30/'tab1 percent'!AC63</f>
        <v>0.23249899158768306</v>
      </c>
      <c r="AD30" s="118">
        <f>'tab1 lvl'!AD30/'tab1 percent'!AD63</f>
        <v>0.23260562594742423</v>
      </c>
      <c r="AE30" s="118">
        <f>'tab1 lvl'!AE30/'tab1 percent'!AE63</f>
        <v>0.22423310398265503</v>
      </c>
      <c r="AF30" s="118">
        <f>'tab1 lvl'!AF30/'tab1 percent'!AF63</f>
        <v>0.2157265914022567</v>
      </c>
      <c r="AG30" s="118">
        <f>'tab1 lvl'!AG30/'tab1 percent'!AG63</f>
        <v>0.22184300871535045</v>
      </c>
      <c r="AH30" s="118">
        <f>'tab1 lvl'!AH30/'tab1 percent'!AH63</f>
        <v>0.21891771857464021</v>
      </c>
      <c r="AI30" s="118">
        <f>'tab1 lvl'!AI30/'tab1 percent'!AI63</f>
        <v>0.21949502831952716</v>
      </c>
      <c r="AJ30" s="118">
        <f>'tab1 lvl'!AJ30/'tab1 percent'!AJ63</f>
        <v>0.2079969848396146</v>
      </c>
      <c r="AK30" s="118">
        <f>'tab1 lvl'!AK30/'tab1 percent'!AK63</f>
        <v>0.20986726338489853</v>
      </c>
      <c r="AL30" s="118">
        <f>'tab1 lvl'!AL30/'tab1 percent'!AL63</f>
        <v>0.20351143210803832</v>
      </c>
      <c r="AM30" s="118">
        <f>'tab1 lvl'!AM30/'tab1 percent'!AM63</f>
        <v>0.19684310399411781</v>
      </c>
      <c r="AN30" s="118">
        <f>'tab1 lvl'!AN30/'tab1 percent'!AN63</f>
        <v>0.17921721898186826</v>
      </c>
      <c r="AO30" s="118">
        <f>'tab1 lvl'!AO30/'tab1 percent'!AO63</f>
        <v>0.16720172483742712</v>
      </c>
      <c r="AP30" s="118">
        <f>'tab1 lvl'!AP30/'tab1 percent'!AP63</f>
        <v>0.17000723009943497</v>
      </c>
      <c r="AQ30" s="118">
        <f>'tab1 lvl'!AQ30/'tab1 percent'!AQ63</f>
        <v>0.16477036383024363</v>
      </c>
      <c r="AR30" s="118">
        <f>'tab1 lvl'!AR30/'tab1 percent'!AR63</f>
        <v>0.16188223026183896</v>
      </c>
      <c r="AS30" s="118">
        <f>'tab1 lvl'!AS30/'tab1 percent'!AS63</f>
        <v>0.16018548065890678</v>
      </c>
      <c r="AT30" s="118">
        <f>'tab1 lvl'!AT30/'tab1 percent'!AT63</f>
        <v>0.15246628207770788</v>
      </c>
      <c r="AU30" s="118">
        <f>'tab1 lvl'!AU30/'tab1 percent'!AU63</f>
        <v>0.1528934581877992</v>
      </c>
      <c r="AV30" s="118">
        <f>'tab1 lvl'!AV30/'tab1 percent'!AV63</f>
        <v>0.14526090475985576</v>
      </c>
      <c r="AW30" s="118">
        <f>'tab1 lvl'!AW30/'tab1 percent'!AW63</f>
        <v>0.14501491749089254</v>
      </c>
      <c r="AX30" s="118">
        <f>'tab1 lvl'!AX30/'tab1 percent'!AX63</f>
        <v>0.14626888511126673</v>
      </c>
      <c r="AY30" s="118">
        <f>'tab1 lvl'!AY30/'tab1 percent'!AY63</f>
        <v>0.15031541304567142</v>
      </c>
    </row>
    <row r="31" spans="1:51" ht="16.5">
      <c r="A31" s="2"/>
      <c r="B31" s="2"/>
      <c r="C31" s="2"/>
      <c r="D31" s="2"/>
      <c r="E31" s="118"/>
      <c r="F31" s="3"/>
      <c r="G31" s="3"/>
      <c r="H31" s="3"/>
      <c r="I31" s="3"/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  <c r="U31" s="3"/>
      <c r="V31" s="3"/>
      <c r="W31" s="3"/>
      <c r="X31" s="3"/>
      <c r="Y31" s="3"/>
      <c r="Z31" s="3"/>
      <c r="AA31" s="3"/>
      <c r="AB31" s="2"/>
      <c r="AC31" s="2"/>
      <c r="AD31" s="2"/>
      <c r="AE31" s="2"/>
      <c r="AF31" s="2"/>
      <c r="AG31" s="2"/>
      <c r="AH31" s="2"/>
      <c r="AI31" s="2"/>
      <c r="AJ31" s="2"/>
      <c r="AK31" s="4"/>
      <c r="AL31" s="4"/>
      <c r="AM31" s="4"/>
      <c r="AN31" s="4"/>
      <c r="AO31" s="4"/>
      <c r="AP31" s="4"/>
      <c r="AQ31" s="4"/>
      <c r="AR31" s="4"/>
      <c r="AS31" s="4"/>
    </row>
    <row r="32" spans="1:51" ht="16.5">
      <c r="A32" s="23" t="s">
        <v>21</v>
      </c>
      <c r="B32" s="46" t="s">
        <v>22</v>
      </c>
      <c r="C32" s="24"/>
      <c r="D32" s="24"/>
      <c r="E32" s="129">
        <f>'tab1 lvl'!E32/'tab1 percent'!E63</f>
        <v>2.7773552568153826E-2</v>
      </c>
      <c r="F32" s="129">
        <f>'tab1 lvl'!F32/'tab1 percent'!F63</f>
        <v>2.7738697478572355E-2</v>
      </c>
      <c r="G32" s="129">
        <f>'tab1 lvl'!G32/'tab1 percent'!G63</f>
        <v>2.6889756238163066E-2</v>
      </c>
      <c r="H32" s="129">
        <f>'tab1 lvl'!H32/'tab1 percent'!H63</f>
        <v>2.5855225190828508E-2</v>
      </c>
      <c r="I32" s="129">
        <f>'tab1 lvl'!I32/'tab1 percent'!I63</f>
        <v>2.6251140617783202E-2</v>
      </c>
      <c r="J32" s="129">
        <f>'tab1 lvl'!J32/'tab1 percent'!J63</f>
        <v>2.5015604583384539E-2</v>
      </c>
      <c r="K32" s="129">
        <f>'tab1 lvl'!K32/'tab1 percent'!K63</f>
        <v>2.6607464077658651E-2</v>
      </c>
      <c r="L32" s="129">
        <f>'tab1 lvl'!L32/'tab1 percent'!L63</f>
        <v>2.7359429351415613E-2</v>
      </c>
      <c r="M32" s="129">
        <f>'tab1 lvl'!M32/'tab1 percent'!M63</f>
        <v>2.8398499694130396E-2</v>
      </c>
      <c r="N32" s="129">
        <f>'tab1 lvl'!N32/'tab1 percent'!N63</f>
        <v>2.7423137454019246E-2</v>
      </c>
      <c r="O32" s="129">
        <f>'tab1 lvl'!O32/'tab1 percent'!O63</f>
        <v>2.8038631221219617E-2</v>
      </c>
      <c r="P32" s="129">
        <f>'tab1 lvl'!P32/'tab1 percent'!P63</f>
        <v>2.8926308071662049E-2</v>
      </c>
      <c r="Q32" s="129">
        <f>'tab1 lvl'!Q32/'tab1 percent'!Q63</f>
        <v>2.8024110300251037E-2</v>
      </c>
      <c r="R32" s="129">
        <f>'tab1 lvl'!R32/'tab1 percent'!R63</f>
        <v>2.5927774325139465E-2</v>
      </c>
      <c r="S32" s="129">
        <f>'tab1 lvl'!S32/'tab1 percent'!S63</f>
        <v>2.760166049885587E-2</v>
      </c>
      <c r="T32" s="129">
        <f>'tab1 lvl'!T32/'tab1 percent'!T63</f>
        <v>2.5981393215071379E-2</v>
      </c>
      <c r="U32" s="129">
        <f>'tab1 lvl'!U32/'tab1 percent'!U63</f>
        <v>2.8946351034655145E-2</v>
      </c>
      <c r="V32" s="129">
        <f>'tab1 lvl'!V32/'tab1 percent'!V63</f>
        <v>3.0027775391225992E-2</v>
      </c>
      <c r="W32" s="129">
        <f>'tab1 lvl'!W32/'tab1 percent'!W63</f>
        <v>2.9469789476564257E-2</v>
      </c>
      <c r="X32" s="129">
        <f>'tab1 lvl'!X32/'tab1 percent'!X63</f>
        <v>3.2676381662027097E-2</v>
      </c>
      <c r="Y32" s="129">
        <f>'tab1 lvl'!Y32/'tab1 percent'!Y63</f>
        <v>3.1902433648354253E-2</v>
      </c>
      <c r="Z32" s="129">
        <f>'tab1 lvl'!Z32/'tab1 percent'!Z63</f>
        <v>2.9876723152408018E-2</v>
      </c>
      <c r="AA32" s="129">
        <f>'tab1 lvl'!AA32/'tab1 percent'!AA63</f>
        <v>3.2057523818612647E-2</v>
      </c>
      <c r="AB32" s="129">
        <f>'tab1 lvl'!AB32/'tab1 percent'!AB63</f>
        <v>3.4944448690658769E-2</v>
      </c>
      <c r="AC32" s="129">
        <f>'tab1 lvl'!AC32/'tab1 percent'!AC63</f>
        <v>3.7158995641538052E-2</v>
      </c>
      <c r="AD32" s="129">
        <f>'tab1 lvl'!AD32/'tab1 percent'!AD63</f>
        <v>3.7207277223413694E-2</v>
      </c>
      <c r="AE32" s="129">
        <f>'tab1 lvl'!AE32/'tab1 percent'!AE63</f>
        <v>3.5699054699704663E-2</v>
      </c>
      <c r="AF32" s="129">
        <f>'tab1 lvl'!AF32/'tab1 percent'!AF63</f>
        <v>3.4993936423344085E-2</v>
      </c>
      <c r="AG32" s="129">
        <f>'tab1 lvl'!AG32/'tab1 percent'!AG63</f>
        <v>3.7023676083941547E-2</v>
      </c>
      <c r="AH32" s="129">
        <f>'tab1 lvl'!AH32/'tab1 percent'!AH63</f>
        <v>4.0965323566327629E-2</v>
      </c>
      <c r="AI32" s="129">
        <f>'tab1 lvl'!AI32/'tab1 percent'!AI63</f>
        <v>4.2605923593961759E-2</v>
      </c>
      <c r="AJ32" s="129">
        <f>'tab1 lvl'!AJ32/'tab1 percent'!AJ63</f>
        <v>4.2523781872138088E-2</v>
      </c>
      <c r="AK32" s="129">
        <f>'tab1 lvl'!AK32/'tab1 percent'!AK63</f>
        <v>4.3751548624276486E-2</v>
      </c>
      <c r="AL32" s="129">
        <f>'tab1 lvl'!AL32/'tab1 percent'!AL63</f>
        <v>4.3543305886211678E-2</v>
      </c>
      <c r="AM32" s="129">
        <f>'tab1 lvl'!AM32/'tab1 percent'!AM63</f>
        <v>4.25865667981042E-2</v>
      </c>
      <c r="AN32" s="129">
        <f>'tab1 lvl'!AN32/'tab1 percent'!AN63</f>
        <v>4.3259273246734307E-2</v>
      </c>
      <c r="AO32" s="129">
        <f>'tab1 lvl'!AO32/'tab1 percent'!AO63</f>
        <v>4.2114780512119067E-2</v>
      </c>
      <c r="AP32" s="129">
        <f>'tab1 lvl'!AP32/'tab1 percent'!AP63</f>
        <v>4.1220050318018168E-2</v>
      </c>
      <c r="AQ32" s="129">
        <f>'tab1 lvl'!AQ32/'tab1 percent'!AQ63</f>
        <v>4.1291782204222097E-2</v>
      </c>
      <c r="AR32" s="129">
        <f>'tab1 lvl'!AR32/'tab1 percent'!AR63</f>
        <v>4.1122703076323014E-2</v>
      </c>
      <c r="AS32" s="129">
        <f>'tab1 lvl'!AS32/'tab1 percent'!AS63</f>
        <v>4.0822325051602784E-2</v>
      </c>
      <c r="AT32" s="129">
        <f>'tab1 lvl'!AT32/'tab1 percent'!AT63</f>
        <v>4.0232197633486851E-2</v>
      </c>
      <c r="AU32" s="129">
        <f>'tab1 lvl'!AU32/'tab1 percent'!AU63</f>
        <v>3.9524752018937341E-2</v>
      </c>
      <c r="AV32" s="129">
        <f>'tab1 lvl'!AV32/'tab1 percent'!AV63</f>
        <v>3.8697319947201297E-2</v>
      </c>
      <c r="AW32" s="129">
        <f>'tab1 lvl'!AW32/'tab1 percent'!AW63</f>
        <v>3.795792026020868E-2</v>
      </c>
      <c r="AX32" s="129">
        <f>'tab1 lvl'!AX32/'tab1 percent'!AX63</f>
        <v>3.7826526928926886E-2</v>
      </c>
      <c r="AY32" s="129">
        <f>'tab1 lvl'!AY32/'tab1 percent'!AY63</f>
        <v>3.7635223674694622E-2</v>
      </c>
    </row>
    <row r="33" spans="1:51" ht="16.5">
      <c r="A33" s="2"/>
      <c r="B33" s="2"/>
      <c r="C33" s="2" t="s">
        <v>23</v>
      </c>
      <c r="D33" s="2"/>
      <c r="E33" s="118">
        <f>'tab1 lvl'!E33/'tab1 percent'!E63</f>
        <v>2.7552889507792836E-2</v>
      </c>
      <c r="F33" s="118">
        <f>'tab1 lvl'!F33/'tab1 percent'!F63</f>
        <v>2.7466382627726056E-2</v>
      </c>
      <c r="G33" s="118">
        <f>'tab1 lvl'!G33/'tab1 percent'!G63</f>
        <v>2.6633413418597932E-2</v>
      </c>
      <c r="H33" s="118">
        <f>'tab1 lvl'!H33/'tab1 percent'!H63</f>
        <v>2.5675552955950028E-2</v>
      </c>
      <c r="I33" s="118">
        <f>'tab1 lvl'!I33/'tab1 percent'!I63</f>
        <v>2.5947802583028295E-2</v>
      </c>
      <c r="J33" s="118">
        <f>'tab1 lvl'!J33/'tab1 percent'!J63</f>
        <v>2.4746399991979556E-2</v>
      </c>
      <c r="K33" s="118">
        <f>'tab1 lvl'!K33/'tab1 percent'!K63</f>
        <v>2.6315751328833108E-2</v>
      </c>
      <c r="L33" s="118">
        <f>'tab1 lvl'!L33/'tab1 percent'!L63</f>
        <v>2.7112852802606665E-2</v>
      </c>
      <c r="M33" s="118">
        <f>'tab1 lvl'!M33/'tab1 percent'!M63</f>
        <v>2.8158198095026239E-2</v>
      </c>
      <c r="N33" s="118">
        <f>'tab1 lvl'!N33/'tab1 percent'!N63</f>
        <v>2.7172025152077797E-2</v>
      </c>
      <c r="O33" s="118">
        <f>'tab1 lvl'!O33/'tab1 percent'!O63</f>
        <v>2.7830792187478012E-2</v>
      </c>
      <c r="P33" s="118">
        <f>'tab1 lvl'!P33/'tab1 percent'!P63</f>
        <v>2.8061807414485076E-2</v>
      </c>
      <c r="Q33" s="118">
        <f>'tab1 lvl'!Q33/'tab1 percent'!Q63</f>
        <v>2.7217357668485841E-2</v>
      </c>
      <c r="R33" s="118">
        <f>'tab1 lvl'!R33/'tab1 percent'!R63</f>
        <v>2.5863830313298253E-2</v>
      </c>
      <c r="S33" s="118">
        <f>'tab1 lvl'!S33/'tab1 percent'!S63</f>
        <v>2.6900048974254812E-2</v>
      </c>
      <c r="T33" s="118">
        <f>'tab1 lvl'!T33/'tab1 percent'!T63</f>
        <v>2.5532732283810707E-2</v>
      </c>
      <c r="U33" s="118">
        <f>'tab1 lvl'!U33/'tab1 percent'!U63</f>
        <v>2.8549300542847624E-2</v>
      </c>
      <c r="V33" s="118">
        <f>'tab1 lvl'!V33/'tab1 percent'!V63</f>
        <v>2.9649918779613753E-2</v>
      </c>
      <c r="W33" s="118">
        <f>'tab1 lvl'!W33/'tab1 percent'!W63</f>
        <v>2.9093289305808148E-2</v>
      </c>
      <c r="X33" s="118">
        <f>'tab1 lvl'!X33/'tab1 percent'!X63</f>
        <v>3.2193125596837568E-2</v>
      </c>
      <c r="Y33" s="118">
        <f>'tab1 lvl'!Y33/'tab1 percent'!Y63</f>
        <v>3.1425022404403188E-2</v>
      </c>
      <c r="Z33" s="118">
        <f>'tab1 lvl'!Z33/'tab1 percent'!Z63</f>
        <v>2.9441362693440495E-2</v>
      </c>
      <c r="AA33" s="118">
        <f>'tab1 lvl'!AA33/'tab1 percent'!AA63</f>
        <v>3.164650344004382E-2</v>
      </c>
      <c r="AB33" s="118">
        <f>'tab1 lvl'!AB33/'tab1 percent'!AB63</f>
        <v>3.4533399168193243E-2</v>
      </c>
      <c r="AC33" s="118">
        <f>'tab1 lvl'!AC33/'tab1 percent'!AC63</f>
        <v>3.6766475611776789E-2</v>
      </c>
      <c r="AD33" s="118">
        <f>'tab1 lvl'!AD33/'tab1 percent'!AD63</f>
        <v>3.6833235810415449E-2</v>
      </c>
      <c r="AE33" s="118">
        <f>'tab1 lvl'!AE33/'tab1 percent'!AE63</f>
        <v>3.5699054699704663E-2</v>
      </c>
      <c r="AF33" s="118">
        <f>'tab1 lvl'!AF33/'tab1 percent'!AF63</f>
        <v>3.4632164451967463E-2</v>
      </c>
      <c r="AG33" s="118">
        <f>'tab1 lvl'!AG33/'tab1 percent'!AG63</f>
        <v>3.6669371192783039E-2</v>
      </c>
      <c r="AH33" s="118">
        <f>'tab1 lvl'!AH33/'tab1 percent'!AH63</f>
        <v>4.0937832621890581E-2</v>
      </c>
      <c r="AI33" s="118">
        <f>'tab1 lvl'!AI33/'tab1 percent'!AI63</f>
        <v>4.2578867197155867E-2</v>
      </c>
      <c r="AJ33" s="118">
        <f>'tab1 lvl'!AJ33/'tab1 percent'!AJ63</f>
        <v>4.2194679560332342E-2</v>
      </c>
      <c r="AK33" s="118">
        <f>'tab1 lvl'!AK33/'tab1 percent'!AK63</f>
        <v>4.342924358516264E-2</v>
      </c>
      <c r="AL33" s="118">
        <f>'tab1 lvl'!AL33/'tab1 percent'!AL63</f>
        <v>4.3227199500745946E-2</v>
      </c>
      <c r="AM33" s="118">
        <f>'tab1 lvl'!AM33/'tab1 percent'!AM63</f>
        <v>4.2277448216652781E-2</v>
      </c>
      <c r="AN33" s="118">
        <f>'tab1 lvl'!AN33/'tab1 percent'!AN63</f>
        <v>4.295769120021619E-2</v>
      </c>
      <c r="AO33" s="118">
        <f>'tab1 lvl'!AO33/'tab1 percent'!AO63</f>
        <v>4.2103652528718311E-2</v>
      </c>
      <c r="AP33" s="118">
        <f>'tab1 lvl'!AP33/'tab1 percent'!AP63</f>
        <v>4.1190235035872727E-2</v>
      </c>
      <c r="AQ33" s="118">
        <f>'tab1 lvl'!AQ33/'tab1 percent'!AQ63</f>
        <v>4.1263495241440962E-2</v>
      </c>
      <c r="AR33" s="118">
        <f>'tab1 lvl'!AR33/'tab1 percent'!AR63</f>
        <v>4.1114039281300085E-2</v>
      </c>
      <c r="AS33" s="118">
        <f>'tab1 lvl'!AS33/'tab1 percent'!AS63</f>
        <v>4.0813839845813632E-2</v>
      </c>
      <c r="AT33" s="118">
        <f>'tab1 lvl'!AT33/'tab1 percent'!AT63</f>
        <v>4.0224744466085316E-2</v>
      </c>
      <c r="AU33" s="118">
        <f>'tab1 lvl'!AU33/'tab1 percent'!AU63</f>
        <v>3.9517449449382194E-2</v>
      </c>
      <c r="AV33" s="118">
        <f>'tab1 lvl'!AV33/'tab1 percent'!AV63</f>
        <v>3.8690992202953536E-2</v>
      </c>
      <c r="AW33" s="118">
        <f>'tab1 lvl'!AW33/'tab1 percent'!AW63</f>
        <v>3.7952449467879956E-2</v>
      </c>
      <c r="AX33" s="118">
        <f>'tab1 lvl'!AX33/'tab1 percent'!AX63</f>
        <v>3.7821127877308867E-2</v>
      </c>
      <c r="AY33" s="118">
        <f>'tab1 lvl'!AY33/'tab1 percent'!AY63</f>
        <v>3.7630643508736891E-2</v>
      </c>
    </row>
    <row r="34" spans="1:51" ht="16.5">
      <c r="A34" s="2"/>
      <c r="B34" s="2"/>
      <c r="C34" s="2" t="s">
        <v>24</v>
      </c>
      <c r="D34" s="2"/>
      <c r="E34" s="118">
        <f>'tab1 lvl'!E34/'tab1 percent'!E63</f>
        <v>2.2066306036098762E-4</v>
      </c>
      <c r="F34" s="118">
        <f>'tab1 lvl'!F34/'tab1 percent'!F63</f>
        <v>2.7231485084629637E-4</v>
      </c>
      <c r="G34" s="118">
        <f>'tab1 lvl'!G34/'tab1 percent'!G63</f>
        <v>2.5634281956513359E-4</v>
      </c>
      <c r="H34" s="118">
        <f>'tab1 lvl'!H34/'tab1 percent'!H63</f>
        <v>1.79672234878482E-4</v>
      </c>
      <c r="I34" s="118">
        <f>'tab1 lvl'!I34/'tab1 percent'!I63</f>
        <v>3.0333803475490767E-4</v>
      </c>
      <c r="J34" s="118">
        <f>'tab1 lvl'!J34/'tab1 percent'!J63</f>
        <v>2.6920459140498433E-4</v>
      </c>
      <c r="K34" s="118">
        <f>'tab1 lvl'!K34/'tab1 percent'!K63</f>
        <v>2.9171274882553913E-4</v>
      </c>
      <c r="L34" s="118">
        <f>'tab1 lvl'!L34/'tab1 percent'!L63</f>
        <v>2.4657654880894721E-4</v>
      </c>
      <c r="M34" s="118">
        <f>'tab1 lvl'!M34/'tab1 percent'!M63</f>
        <v>2.4030159910415564E-4</v>
      </c>
      <c r="N34" s="118">
        <f>'tab1 lvl'!N34/'tab1 percent'!N63</f>
        <v>2.5111230194144966E-4</v>
      </c>
      <c r="O34" s="118">
        <f>'tab1 lvl'!O34/'tab1 percent'!O63</f>
        <v>2.078390337416034E-4</v>
      </c>
      <c r="P34" s="118">
        <f>'tab1 lvl'!P34/'tab1 percent'!P63</f>
        <v>1.2118975812597261E-4</v>
      </c>
      <c r="Q34" s="118">
        <f>'tab1 lvl'!Q34/'tab1 percent'!Q63</f>
        <v>3.4341699283476056E-5</v>
      </c>
      <c r="R34" s="118">
        <f>'tab1 lvl'!R34/'tab1 percent'!R63</f>
        <v>6.3944011841213011E-5</v>
      </c>
      <c r="S34" s="118">
        <f>'tab1 lvl'!S34/'tab1 percent'!S63</f>
        <v>7.1582345646093297E-5</v>
      </c>
      <c r="T34" s="118">
        <f>'tab1 lvl'!T34/'tab1 percent'!T63</f>
        <v>5.0778205007862642E-5</v>
      </c>
      <c r="U34" s="118">
        <f>'tab1 lvl'!U34/'tab1 percent'!U63</f>
        <v>7.1092436233994785E-6</v>
      </c>
      <c r="V34" s="118">
        <f>'tab1 lvl'!V34/'tab1 percent'!V63</f>
        <v>0</v>
      </c>
      <c r="W34" s="118">
        <f>'tab1 lvl'!W34/'tab1 percent'!W63</f>
        <v>0</v>
      </c>
      <c r="X34" s="118">
        <f>'tab1 lvl'!X34/'tab1 percent'!X63</f>
        <v>0</v>
      </c>
      <c r="Y34" s="118">
        <f>'tab1 lvl'!Y34/'tab1 percent'!Y63</f>
        <v>0</v>
      </c>
      <c r="Z34" s="118">
        <f>'tab1 lvl'!Z34/'tab1 percent'!Z63</f>
        <v>0</v>
      </c>
      <c r="AA34" s="118">
        <f>'tab1 lvl'!AA34/'tab1 percent'!AA63</f>
        <v>0</v>
      </c>
      <c r="AB34" s="118">
        <f>'tab1 lvl'!AB34/'tab1 percent'!AB63</f>
        <v>0</v>
      </c>
      <c r="AC34" s="118">
        <f>'tab1 lvl'!AC34/'tab1 percent'!AC63</f>
        <v>0</v>
      </c>
      <c r="AD34" s="118">
        <f>'tab1 lvl'!AD34/'tab1 percent'!AD63</f>
        <v>0</v>
      </c>
      <c r="AE34" s="118">
        <f>'tab1 lvl'!AE34/'tab1 percent'!AE63</f>
        <v>0</v>
      </c>
      <c r="AF34" s="118">
        <f>'tab1 lvl'!AF34/'tab1 percent'!AF63</f>
        <v>0</v>
      </c>
      <c r="AG34" s="118">
        <f>'tab1 lvl'!AG34/'tab1 percent'!AG63</f>
        <v>0</v>
      </c>
      <c r="AH34" s="118">
        <f>'tab1 lvl'!AH34/'tab1 percent'!AH63</f>
        <v>0</v>
      </c>
      <c r="AI34" s="118">
        <f>'tab1 lvl'!AI34/'tab1 percent'!AI63</f>
        <v>0</v>
      </c>
      <c r="AJ34" s="118">
        <f>'tab1 lvl'!AJ34/'tab1 percent'!AJ63</f>
        <v>1.5450644307318259E-5</v>
      </c>
      <c r="AK34" s="118">
        <f>'tab1 lvl'!AK34/'tab1 percent'!AK63</f>
        <v>1.4167099522153854E-5</v>
      </c>
      <c r="AL34" s="118">
        <f>'tab1 lvl'!AL34/'tab1 percent'!AL63</f>
        <v>1.3894634209859792E-5</v>
      </c>
      <c r="AM34" s="118">
        <f>'tab1 lvl'!AM34/'tab1 percent'!AM63</f>
        <v>1.3587481348755516E-5</v>
      </c>
      <c r="AN34" s="118">
        <f>'tab1 lvl'!AN34/'tab1 percent'!AN63</f>
        <v>1.3256208711052432E-5</v>
      </c>
      <c r="AO34" s="118">
        <f>'tab1 lvl'!AO34/'tab1 percent'!AO63</f>
        <v>1.1127983400758094E-5</v>
      </c>
      <c r="AP34" s="118">
        <f>'tab1 lvl'!AP34/'tab1 percent'!AP63</f>
        <v>1.0892805175099119E-5</v>
      </c>
      <c r="AQ34" s="118">
        <f>'tab1 lvl'!AQ34/'tab1 percent'!AQ63</f>
        <v>9.7707124670293953E-6</v>
      </c>
      <c r="AR34" s="118">
        <f>'tab1 lvl'!AR34/'tab1 percent'!AR63</f>
        <v>8.6637950229270012E-6</v>
      </c>
      <c r="AS34" s="118">
        <f>'tab1 lvl'!AS34/'tab1 percent'!AS63</f>
        <v>8.4852057891504443E-6</v>
      </c>
      <c r="AT34" s="118">
        <f>'tab1 lvl'!AT34/'tab1 percent'!AT63</f>
        <v>7.4531674015351697E-6</v>
      </c>
      <c r="AU34" s="118">
        <f>'tab1 lvl'!AU34/'tab1 percent'!AU63</f>
        <v>7.30256955514937E-6</v>
      </c>
      <c r="AV34" s="118">
        <f>'tab1 lvl'!AV34/'tab1 percent'!AV63</f>
        <v>6.3277442477640912E-6</v>
      </c>
      <c r="AW34" s="118">
        <f>'tab1 lvl'!AW34/'tab1 percent'!AW63</f>
        <v>5.4707923287238671E-6</v>
      </c>
      <c r="AX34" s="118">
        <f>'tab1 lvl'!AX34/'tab1 percent'!AX63</f>
        <v>5.3990516180186408E-6</v>
      </c>
      <c r="AY34" s="118">
        <f>'tab1 lvl'!AY34/'tab1 percent'!AY63</f>
        <v>4.5801659577333119E-6</v>
      </c>
    </row>
    <row r="35" spans="1:51" ht="16.5">
      <c r="A35" s="2"/>
      <c r="B35" s="2"/>
      <c r="C35" s="2" t="s">
        <v>25</v>
      </c>
      <c r="D35" s="2"/>
      <c r="E35" s="118">
        <f>'tab1 lvl'!E35/'tab1 percent'!E63</f>
        <v>0</v>
      </c>
      <c r="F35" s="118">
        <f>'tab1 lvl'!F35/'tab1 percent'!F63</f>
        <v>0</v>
      </c>
      <c r="G35" s="118">
        <f>'tab1 lvl'!G35/'tab1 percent'!G63</f>
        <v>0</v>
      </c>
      <c r="H35" s="118">
        <f>'tab1 lvl'!H35/'tab1 percent'!H63</f>
        <v>0</v>
      </c>
      <c r="I35" s="118">
        <f>'tab1 lvl'!I35/'tab1 percent'!I63</f>
        <v>0</v>
      </c>
      <c r="J35" s="118">
        <f>'tab1 lvl'!J35/'tab1 percent'!J63</f>
        <v>0</v>
      </c>
      <c r="K35" s="118">
        <f>'tab1 lvl'!K35/'tab1 percent'!K63</f>
        <v>0</v>
      </c>
      <c r="L35" s="118">
        <f>'tab1 lvl'!L35/'tab1 percent'!L63</f>
        <v>0</v>
      </c>
      <c r="M35" s="118">
        <f>'tab1 lvl'!M35/'tab1 percent'!M63</f>
        <v>0</v>
      </c>
      <c r="N35" s="118">
        <f>'tab1 lvl'!N35/'tab1 percent'!N63</f>
        <v>0</v>
      </c>
      <c r="O35" s="118">
        <f>'tab1 lvl'!O35/'tab1 percent'!O63</f>
        <v>0</v>
      </c>
      <c r="P35" s="118">
        <f>'tab1 lvl'!P35/'tab1 percent'!P63</f>
        <v>7.4331089905100439E-4</v>
      </c>
      <c r="Q35" s="118">
        <f>'tab1 lvl'!Q35/'tab1 percent'!Q63</f>
        <v>7.7241093248172157E-4</v>
      </c>
      <c r="R35" s="118">
        <f>'tab1 lvl'!R35/'tab1 percent'!R63</f>
        <v>0</v>
      </c>
      <c r="S35" s="118">
        <f>'tab1 lvl'!S35/'tab1 percent'!S63</f>
        <v>6.3002917895496927E-4</v>
      </c>
      <c r="T35" s="118">
        <f>'tab1 lvl'!T35/'tab1 percent'!T63</f>
        <v>3.9788272625281078E-4</v>
      </c>
      <c r="U35" s="118">
        <f>'tab1 lvl'!U35/'tab1 percent'!U63</f>
        <v>3.8994124818412141E-4</v>
      </c>
      <c r="V35" s="118">
        <f>'tab1 lvl'!V35/'tab1 percent'!V63</f>
        <v>3.778566116122419E-4</v>
      </c>
      <c r="W35" s="118">
        <f>'tab1 lvl'!W35/'tab1 percent'!W63</f>
        <v>3.765001707561089E-4</v>
      </c>
      <c r="X35" s="118">
        <f>'tab1 lvl'!X35/'tab1 percent'!X63</f>
        <v>4.8325606518952511E-4</v>
      </c>
      <c r="Y35" s="118">
        <f>'tab1 lvl'!Y35/'tab1 percent'!Y63</f>
        <v>4.7741124395106704E-4</v>
      </c>
      <c r="Z35" s="118">
        <f>'tab1 lvl'!Z35/'tab1 percent'!Z63</f>
        <v>4.3536045896752266E-4</v>
      </c>
      <c r="AA35" s="118">
        <f>'tab1 lvl'!AA35/'tab1 percent'!AA63</f>
        <v>4.1102037856882777E-4</v>
      </c>
      <c r="AB35" s="118">
        <f>'tab1 lvl'!AB35/'tab1 percent'!AB63</f>
        <v>4.1104952246552297E-4</v>
      </c>
      <c r="AC35" s="118">
        <f>'tab1 lvl'!AC35/'tab1 percent'!AC63</f>
        <v>3.9252002976126408E-4</v>
      </c>
      <c r="AD35" s="118">
        <f>'tab1 lvl'!AD35/'tab1 percent'!AD63</f>
        <v>3.7404141299824458E-4</v>
      </c>
      <c r="AE35" s="118">
        <f>'tab1 lvl'!AE35/'tab1 percent'!AE63</f>
        <v>3.7141597875069843E-4</v>
      </c>
      <c r="AF35" s="118">
        <f>'tab1 lvl'!AF35/'tab1 percent'!AF63</f>
        <v>3.6177197137662328E-4</v>
      </c>
      <c r="AG35" s="118">
        <f>'tab1 lvl'!AG35/'tab1 percent'!AG63</f>
        <v>3.5430489115850566E-4</v>
      </c>
      <c r="AH35" s="118">
        <f>'tab1 lvl'!AH35/'tab1 percent'!AH63</f>
        <v>2.7490944437046915E-5</v>
      </c>
      <c r="AI35" s="118">
        <f>'tab1 lvl'!AI35/'tab1 percent'!AI63</f>
        <v>2.7056396805891903E-5</v>
      </c>
      <c r="AJ35" s="118">
        <f>'tab1 lvl'!AJ35/'tab1 percent'!AJ63</f>
        <v>3.1365166749842635E-4</v>
      </c>
      <c r="AK35" s="118">
        <f>'tab1 lvl'!AK35/'tab1 percent'!AK63</f>
        <v>3.0813793959169004E-4</v>
      </c>
      <c r="AL35" s="118">
        <f>'tab1 lvl'!AL35/'tab1 percent'!AL63</f>
        <v>3.0221175125587645E-4</v>
      </c>
      <c r="AM35" s="118">
        <f>'tab1 lvl'!AM35/'tab1 percent'!AM63</f>
        <v>2.9553110010266316E-4</v>
      </c>
      <c r="AN35" s="118">
        <f>'tab1 lvl'!AN35/'tab1 percent'!AN63</f>
        <v>2.8832583780706708E-4</v>
      </c>
      <c r="AO35" s="118">
        <f>'tab1 lvl'!AO35/'tab1 percent'!AO63</f>
        <v>0</v>
      </c>
      <c r="AP35" s="118">
        <f>'tab1 lvl'!AP35/'tab1 percent'!AP63</f>
        <v>1.8922476970340526E-5</v>
      </c>
      <c r="AQ35" s="118">
        <f>'tab1 lvl'!AQ35/'tab1 percent'!AQ63</f>
        <v>1.8516250314106198E-5</v>
      </c>
      <c r="AR35" s="118">
        <f>'tab1 lvl'!AR35/'tab1 percent'!AR63</f>
        <v>0</v>
      </c>
      <c r="AS35" s="118">
        <f>'tab1 lvl'!AS35/'tab1 percent'!AS63</f>
        <v>0</v>
      </c>
      <c r="AT35" s="118">
        <f>'tab1 lvl'!AT35/'tab1 percent'!AT63</f>
        <v>0</v>
      </c>
      <c r="AU35" s="118">
        <f>'tab1 lvl'!AU35/'tab1 percent'!AU63</f>
        <v>0</v>
      </c>
      <c r="AV35" s="118">
        <f>'tab1 lvl'!AV35/'tab1 percent'!AV63</f>
        <v>0</v>
      </c>
      <c r="AW35" s="118">
        <f>'tab1 lvl'!AW35/'tab1 percent'!AW63</f>
        <v>0</v>
      </c>
      <c r="AX35" s="118">
        <f>'tab1 lvl'!AX35/'tab1 percent'!AX63</f>
        <v>0</v>
      </c>
      <c r="AY35" s="118">
        <f>'tab1 lvl'!AY35/'tab1 percent'!AY63</f>
        <v>0</v>
      </c>
    </row>
    <row r="36" spans="1:51" ht="16.5">
      <c r="A36" s="50"/>
      <c r="B36" s="50"/>
      <c r="C36" s="50"/>
      <c r="D36" s="50"/>
      <c r="E36" s="133"/>
      <c r="F36" s="51"/>
      <c r="G36" s="51"/>
      <c r="H36" s="52"/>
      <c r="I36" s="52"/>
      <c r="J36" s="52"/>
      <c r="K36" s="52"/>
      <c r="L36" s="52"/>
      <c r="M36" s="50"/>
      <c r="N36" s="50"/>
      <c r="O36" s="50"/>
      <c r="P36" s="50"/>
      <c r="Q36" s="50"/>
      <c r="R36" s="50"/>
      <c r="S36" s="50"/>
      <c r="T36" s="50"/>
      <c r="U36" s="52"/>
      <c r="V36" s="52"/>
      <c r="W36" s="52"/>
      <c r="X36" s="52"/>
      <c r="Y36" s="52"/>
      <c r="Z36" s="52"/>
      <c r="AA36" s="52"/>
      <c r="AB36" s="50"/>
      <c r="AC36" s="50"/>
      <c r="AD36" s="50"/>
      <c r="AE36" s="50"/>
      <c r="AF36" s="50"/>
      <c r="AG36" s="50"/>
      <c r="AH36" s="50"/>
      <c r="AI36" s="50"/>
      <c r="AJ36" s="50"/>
      <c r="AK36" s="4"/>
      <c r="AL36" s="4"/>
      <c r="AM36" s="4"/>
      <c r="AN36" s="4"/>
      <c r="AO36" s="4"/>
      <c r="AP36" s="4"/>
      <c r="AQ36" s="4"/>
      <c r="AR36" s="4"/>
      <c r="AS36" s="4"/>
    </row>
    <row r="37" spans="1:51" ht="16.5">
      <c r="A37" s="53" t="s">
        <v>26</v>
      </c>
      <c r="B37" s="54" t="s">
        <v>27</v>
      </c>
      <c r="C37" s="54"/>
      <c r="D37" s="54"/>
      <c r="E37" s="134">
        <f>'tab1 lvl'!E37/'tab1 percent'!E63</f>
        <v>0.68074528408598145</v>
      </c>
      <c r="F37" s="134">
        <f>'tab1 lvl'!F37/'tab1 percent'!F63</f>
        <v>0.66292890727759968</v>
      </c>
      <c r="G37" s="134">
        <f>'tab1 lvl'!G37/'tab1 percent'!G63</f>
        <v>0.67653338718561828</v>
      </c>
      <c r="H37" s="134">
        <f>'tab1 lvl'!H37/'tab1 percent'!H63</f>
        <v>0.65804336584684686</v>
      </c>
      <c r="I37" s="134">
        <f>'tab1 lvl'!I37/'tab1 percent'!I63</f>
        <v>0.649696409946664</v>
      </c>
      <c r="J37" s="134">
        <f>'tab1 lvl'!J37/'tab1 percent'!J63</f>
        <v>0.64215786546008358</v>
      </c>
      <c r="K37" s="134">
        <f>'tab1 lvl'!K37/'tab1 percent'!K63</f>
        <v>0.64287699131073617</v>
      </c>
      <c r="L37" s="134">
        <f>'tab1 lvl'!L37/'tab1 percent'!L63</f>
        <v>0.59168781395793235</v>
      </c>
      <c r="M37" s="134">
        <f>'tab1 lvl'!M37/'tab1 percent'!M63</f>
        <v>0.58396183022658898</v>
      </c>
      <c r="N37" s="134">
        <f>'tab1 lvl'!N37/'tab1 percent'!N63</f>
        <v>0.56690830059844921</v>
      </c>
      <c r="O37" s="134">
        <f>'tab1 lvl'!O37/'tab1 percent'!O63</f>
        <v>0.54137789334899544</v>
      </c>
      <c r="P37" s="134">
        <f>'tab1 lvl'!P37/'tab1 percent'!P63</f>
        <v>0.51506018279315913</v>
      </c>
      <c r="Q37" s="134">
        <f>'tab1 lvl'!Q37/'tab1 percent'!Q63</f>
        <v>0.51110972180593317</v>
      </c>
      <c r="R37" s="134">
        <f>'tab1 lvl'!R37/'tab1 percent'!R63</f>
        <v>0.47040203117838147</v>
      </c>
      <c r="S37" s="134">
        <f>'tab1 lvl'!S37/'tab1 percent'!S63</f>
        <v>0.46897065154210293</v>
      </c>
      <c r="T37" s="134">
        <f>'tab1 lvl'!T37/'tab1 percent'!T63</f>
        <v>0.44166059716382833</v>
      </c>
      <c r="U37" s="134">
        <f>'tab1 lvl'!U37/'tab1 percent'!U63</f>
        <v>0.44028817136787818</v>
      </c>
      <c r="V37" s="134">
        <f>'tab1 lvl'!V37/'tab1 percent'!V63</f>
        <v>0.43820865403437714</v>
      </c>
      <c r="W37" s="134">
        <f>'tab1 lvl'!W37/'tab1 percent'!W63</f>
        <v>0.43970749236036805</v>
      </c>
      <c r="X37" s="134">
        <f>'tab1 lvl'!X37/'tab1 percent'!X63</f>
        <v>0.44120503429089569</v>
      </c>
      <c r="Y37" s="134">
        <f>'tab1 lvl'!Y37/'tab1 percent'!Y63</f>
        <v>0.43978500402344434</v>
      </c>
      <c r="Z37" s="134">
        <f>'tab1 lvl'!Z37/'tab1 percent'!Z63</f>
        <v>0.43739121580099444</v>
      </c>
      <c r="AA37" s="134">
        <f>'tab1 lvl'!AA37/'tab1 percent'!AA63</f>
        <v>0.44589387933284991</v>
      </c>
      <c r="AB37" s="134">
        <f>'tab1 lvl'!AB37/'tab1 percent'!AB63</f>
        <v>0.44301572354513119</v>
      </c>
      <c r="AC37" s="134">
        <f>'tab1 lvl'!AC37/'tab1 percent'!AC63</f>
        <v>0.42585131474999671</v>
      </c>
      <c r="AD37" s="134">
        <f>'tab1 lvl'!AD37/'tab1 percent'!AD63</f>
        <v>0.4277752958566004</v>
      </c>
      <c r="AE37" s="134">
        <f>'tab1 lvl'!AE37/'tab1 percent'!AE63</f>
        <v>0.43022796653650974</v>
      </c>
      <c r="AF37" s="134">
        <f>'tab1 lvl'!AF37/'tab1 percent'!AF63</f>
        <v>0.42198851604930543</v>
      </c>
      <c r="AG37" s="134">
        <f>'tab1 lvl'!AG37/'tab1 percent'!AG63</f>
        <v>0.43300994150014394</v>
      </c>
      <c r="AH37" s="134">
        <f>'tab1 lvl'!AH37/'tab1 percent'!AH63</f>
        <v>0.43029841738779195</v>
      </c>
      <c r="AI37" s="134">
        <f>'tab1 lvl'!AI37/'tab1 percent'!AI63</f>
        <v>0.43009516314816787</v>
      </c>
      <c r="AJ37" s="134">
        <f>'tab1 lvl'!AJ37/'tab1 percent'!AJ63</f>
        <v>0.41411464813334176</v>
      </c>
      <c r="AK37" s="134">
        <f>'tab1 lvl'!AK37/'tab1 percent'!AK63</f>
        <v>0.42483557743124678</v>
      </c>
      <c r="AL37" s="134">
        <f>'tab1 lvl'!AL37/'tab1 percent'!AL63</f>
        <v>0.41219910854689473</v>
      </c>
      <c r="AM37" s="134">
        <f>'tab1 lvl'!AM37/'tab1 percent'!AM63</f>
        <v>0.40299287797813138</v>
      </c>
      <c r="AN37" s="134">
        <f>'tab1 lvl'!AN37/'tab1 percent'!AN63</f>
        <v>0.40608292250207723</v>
      </c>
      <c r="AO37" s="134">
        <f>'tab1 lvl'!AO37/'tab1 percent'!AO63</f>
        <v>0.38535900694681147</v>
      </c>
      <c r="AP37" s="134">
        <f>'tab1 lvl'!AP37/'tab1 percent'!AP63</f>
        <v>0.39141683109208275</v>
      </c>
      <c r="AQ37" s="134">
        <f>'tab1 lvl'!AQ37/'tab1 percent'!AQ63</f>
        <v>0.39689887377569633</v>
      </c>
      <c r="AR37" s="134">
        <f>'tab1 lvl'!AR37/'tab1 percent'!AR63</f>
        <v>0.3924583609361586</v>
      </c>
      <c r="AS37" s="134">
        <f>'tab1 lvl'!AS37/'tab1 percent'!AS63</f>
        <v>0.38101929985025057</v>
      </c>
      <c r="AT37" s="134">
        <f>'tab1 lvl'!AT37/'tab1 percent'!AT63</f>
        <v>0.3727497425470272</v>
      </c>
      <c r="AU37" s="134">
        <f>'tab1 lvl'!AU37/'tab1 percent'!AU63</f>
        <v>0.37206631807289081</v>
      </c>
      <c r="AV37" s="134">
        <f>'tab1 lvl'!AV37/'tab1 percent'!AV63</f>
        <v>0.3640467061930534</v>
      </c>
      <c r="AW37" s="134">
        <f>'tab1 lvl'!AW37/'tab1 percent'!AW63</f>
        <v>0.36340898789127701</v>
      </c>
      <c r="AX37" s="134">
        <f>'tab1 lvl'!AX37/'tab1 percent'!AX63</f>
        <v>0.36155130331837282</v>
      </c>
      <c r="AY37" s="134">
        <f>'tab1 lvl'!AY37/'tab1 percent'!AY63</f>
        <v>0.36783251787694415</v>
      </c>
    </row>
    <row r="38" spans="1:51" ht="16.5">
      <c r="A38" s="2"/>
      <c r="B38" s="2"/>
      <c r="C38" s="1" t="s">
        <v>10</v>
      </c>
      <c r="D38" s="1"/>
      <c r="E38" s="135">
        <f>'tab1 lvl'!E38/'tab1 percent'!E63</f>
        <v>0.30420838086708585</v>
      </c>
      <c r="F38" s="135">
        <f>'tab1 lvl'!F38/'tab1 percent'!F63</f>
        <v>0.29783553571209287</v>
      </c>
      <c r="G38" s="135">
        <f>'tab1 lvl'!G38/'tab1 percent'!G63</f>
        <v>0.30955259493290377</v>
      </c>
      <c r="H38" s="135">
        <f>'tab1 lvl'!H38/'tab1 percent'!H63</f>
        <v>0.29555056748108316</v>
      </c>
      <c r="I38" s="135">
        <f>'tab1 lvl'!I38/'tab1 percent'!I63</f>
        <v>0.29667016185850448</v>
      </c>
      <c r="J38" s="135">
        <f>'tab1 lvl'!J38/'tab1 percent'!J63</f>
        <v>0.29009111218999051</v>
      </c>
      <c r="K38" s="135">
        <f>'tab1 lvl'!K38/'tab1 percent'!K63</f>
        <v>0.2962326458634118</v>
      </c>
      <c r="L38" s="135">
        <f>'tab1 lvl'!L38/'tab1 percent'!L63</f>
        <v>0.28186437946364135</v>
      </c>
      <c r="M38" s="135">
        <f>'tab1 lvl'!M38/'tab1 percent'!M63</f>
        <v>0.27401520850221556</v>
      </c>
      <c r="N38" s="135">
        <f>'tab1 lvl'!N38/'tab1 percent'!N63</f>
        <v>0.25740105288546122</v>
      </c>
      <c r="O38" s="135">
        <f>'tab1 lvl'!O38/'tab1 percent'!O63</f>
        <v>0.25095687121181287</v>
      </c>
      <c r="P38" s="135">
        <f>'tab1 lvl'!P38/'tab1 percent'!P63</f>
        <v>0.2437902046186676</v>
      </c>
      <c r="Q38" s="135">
        <f>'tab1 lvl'!Q38/'tab1 percent'!Q63</f>
        <v>0.2368573573632396</v>
      </c>
      <c r="R38" s="135">
        <f>'tab1 lvl'!R38/'tab1 percent'!R63</f>
        <v>0.21743673974120029</v>
      </c>
      <c r="S38" s="135">
        <f>'tab1 lvl'!S38/'tab1 percent'!S63</f>
        <v>0.22680346655187841</v>
      </c>
      <c r="T38" s="135">
        <f>'tab1 lvl'!T38/'tab1 percent'!T63</f>
        <v>0.22265705598389954</v>
      </c>
      <c r="U38" s="135">
        <f>'tab1 lvl'!U38/'tab1 percent'!U63</f>
        <v>0.21364989238391421</v>
      </c>
      <c r="V38" s="135">
        <f>'tab1 lvl'!V38/'tab1 percent'!V63</f>
        <v>0.20957735029929056</v>
      </c>
      <c r="W38" s="135">
        <f>'tab1 lvl'!W38/'tab1 percent'!W63</f>
        <v>0.20954218171026714</v>
      </c>
      <c r="X38" s="135">
        <f>'tab1 lvl'!X38/'tab1 percent'!X63</f>
        <v>0.2073675924361166</v>
      </c>
      <c r="Y38" s="135">
        <f>'tab1 lvl'!Y38/'tab1 percent'!Y63</f>
        <v>0.20433605971382629</v>
      </c>
      <c r="Z38" s="135">
        <f>'tab1 lvl'!Z38/'tab1 percent'!Z63</f>
        <v>0.20232591157549862</v>
      </c>
      <c r="AA38" s="135">
        <f>'tab1 lvl'!AA38/'tab1 percent'!AA63</f>
        <v>0.20388710927969123</v>
      </c>
      <c r="AB38" s="135">
        <f>'tab1 lvl'!AB38/'tab1 percent'!AB63</f>
        <v>0.2033082128897965</v>
      </c>
      <c r="AC38" s="135">
        <f>'tab1 lvl'!AC38/'tab1 percent'!AC63</f>
        <v>0.19335232316231363</v>
      </c>
      <c r="AD38" s="135">
        <f>'tab1 lvl'!AD38/'tab1 percent'!AD63</f>
        <v>0.19516966990917611</v>
      </c>
      <c r="AE38" s="135">
        <f>'tab1 lvl'!AE38/'tab1 percent'!AE63</f>
        <v>0.20599486255385474</v>
      </c>
      <c r="AF38" s="135">
        <f>'tab1 lvl'!AF38/'tab1 percent'!AF63</f>
        <v>0.20626192464704873</v>
      </c>
      <c r="AG38" s="135">
        <f>'tab1 lvl'!AG38/'tab1 percent'!AG63</f>
        <v>0.21116693278479351</v>
      </c>
      <c r="AH38" s="135">
        <f>'tab1 lvl'!AH38/'tab1 percent'!AH63</f>
        <v>0.21138069881315172</v>
      </c>
      <c r="AI38" s="135">
        <f>'tab1 lvl'!AI38/'tab1 percent'!AI63</f>
        <v>0.21060013482864073</v>
      </c>
      <c r="AJ38" s="135">
        <f>'tab1 lvl'!AJ38/'tab1 percent'!AJ63</f>
        <v>0.20611766329372713</v>
      </c>
      <c r="AK38" s="135">
        <f>'tab1 lvl'!AK38/'tab1 percent'!AK63</f>
        <v>0.21496831404634828</v>
      </c>
      <c r="AL38" s="135">
        <f>'tab1 lvl'!AL38/'tab1 percent'!AL63</f>
        <v>0.20868767643885638</v>
      </c>
      <c r="AM38" s="135">
        <f>'tab1 lvl'!AM38/'tab1 percent'!AM63</f>
        <v>0.20614977398401357</v>
      </c>
      <c r="AN38" s="135">
        <f>'tab1 lvl'!AN38/'tab1 percent'!AN63</f>
        <v>0.22686570352020896</v>
      </c>
      <c r="AO38" s="135">
        <f>'tab1 lvl'!AO38/'tab1 percent'!AO63</f>
        <v>0.2181572821093844</v>
      </c>
      <c r="AP38" s="135">
        <f>'tab1 lvl'!AP38/'tab1 percent'!AP63</f>
        <v>0.22140960099264775</v>
      </c>
      <c r="AQ38" s="135">
        <f>'tab1 lvl'!AQ38/'tab1 percent'!AQ63</f>
        <v>0.23212850994545273</v>
      </c>
      <c r="AR38" s="135">
        <f>'tab1 lvl'!AR38/'tab1 percent'!AR63</f>
        <v>0.23057613067431965</v>
      </c>
      <c r="AS38" s="135">
        <f>'tab1 lvl'!AS38/'tab1 percent'!AS63</f>
        <v>0.22083381919134379</v>
      </c>
      <c r="AT38" s="135">
        <f>'tab1 lvl'!AT38/'tab1 percent'!AT63</f>
        <v>0.22028346046931929</v>
      </c>
      <c r="AU38" s="135">
        <f>'tab1 lvl'!AU38/'tab1 percent'!AU63</f>
        <v>0.21917285988509161</v>
      </c>
      <c r="AV38" s="135">
        <f>'tab1 lvl'!AV38/'tab1 percent'!AV63</f>
        <v>0.2187858014331977</v>
      </c>
      <c r="AW38" s="135">
        <f>'tab1 lvl'!AW38/'tab1 percent'!AW63</f>
        <v>0.21839407040038444</v>
      </c>
      <c r="AX38" s="135">
        <f>'tab1 lvl'!AX38/'tab1 percent'!AX63</f>
        <v>0.21528241820710606</v>
      </c>
      <c r="AY38" s="135">
        <f>'tab1 lvl'!AY38/'tab1 percent'!AY63</f>
        <v>0.21751710483127276</v>
      </c>
    </row>
    <row r="39" spans="1:51" ht="16.5">
      <c r="A39" s="50"/>
      <c r="B39" s="50"/>
      <c r="C39" s="9" t="s">
        <v>11</v>
      </c>
      <c r="D39" s="9"/>
      <c r="E39" s="136">
        <f>'tab1 lvl'!E39/'tab1 percent'!E63</f>
        <v>0.3765369032188956</v>
      </c>
      <c r="F39" s="136">
        <f>'tab1 lvl'!F39/'tab1 percent'!F63</f>
        <v>0.36509337156550686</v>
      </c>
      <c r="G39" s="136">
        <f>'tab1 lvl'!G39/'tab1 percent'!G63</f>
        <v>0.36698079225271452</v>
      </c>
      <c r="H39" s="136">
        <f>'tab1 lvl'!H39/'tab1 percent'!H63</f>
        <v>0.36249279836576381</v>
      </c>
      <c r="I39" s="136">
        <f>'tab1 lvl'!I39/'tab1 percent'!I63</f>
        <v>0.35302624808815963</v>
      </c>
      <c r="J39" s="136">
        <f>'tab1 lvl'!J39/'tab1 percent'!J63</f>
        <v>0.35206675327009312</v>
      </c>
      <c r="K39" s="136">
        <f>'tab1 lvl'!K39/'tab1 percent'!K63</f>
        <v>0.34664434544732431</v>
      </c>
      <c r="L39" s="136">
        <f>'tab1 lvl'!L39/'tab1 percent'!L63</f>
        <v>0.30982343449429089</v>
      </c>
      <c r="M39" s="136">
        <f>'tab1 lvl'!M39/'tab1 percent'!M63</f>
        <v>0.30994662172437343</v>
      </c>
      <c r="N39" s="136">
        <f>'tab1 lvl'!N39/'tab1 percent'!N63</f>
        <v>0.30950724771298804</v>
      </c>
      <c r="O39" s="136">
        <f>'tab1 lvl'!O39/'tab1 percent'!O63</f>
        <v>0.29042102213718257</v>
      </c>
      <c r="P39" s="136">
        <f>'tab1 lvl'!P39/'tab1 percent'!P63</f>
        <v>0.27126997817449156</v>
      </c>
      <c r="Q39" s="136">
        <f>'tab1 lvl'!Q39/'tab1 percent'!Q63</f>
        <v>0.27425236444269357</v>
      </c>
      <c r="R39" s="136">
        <f>'tab1 lvl'!R39/'tab1 percent'!R63</f>
        <v>0.25296529143718127</v>
      </c>
      <c r="S39" s="136">
        <f>'tab1 lvl'!S39/'tab1 percent'!S63</f>
        <v>0.24216718499022449</v>
      </c>
      <c r="T39" s="136">
        <f>'tab1 lvl'!T39/'tab1 percent'!T63</f>
        <v>0.21900354117992879</v>
      </c>
      <c r="U39" s="136">
        <f>'tab1 lvl'!U39/'tab1 percent'!U63</f>
        <v>0.22663827898396399</v>
      </c>
      <c r="V39" s="136">
        <f>'tab1 lvl'!V39/'tab1 percent'!V63</f>
        <v>0.22863130373508656</v>
      </c>
      <c r="W39" s="136">
        <f>'tab1 lvl'!W39/'tab1 percent'!W63</f>
        <v>0.2301653106501009</v>
      </c>
      <c r="X39" s="136">
        <f>'tab1 lvl'!X39/'tab1 percent'!X63</f>
        <v>0.23383744185477912</v>
      </c>
      <c r="Y39" s="136">
        <f>'tab1 lvl'!Y39/'tab1 percent'!Y63</f>
        <v>0.23544894430961807</v>
      </c>
      <c r="Z39" s="136">
        <f>'tab1 lvl'!Z39/'tab1 percent'!Z63</f>
        <v>0.23506530422549582</v>
      </c>
      <c r="AA39" s="136">
        <f>'tab1 lvl'!AA39/'tab1 percent'!AA63</f>
        <v>0.24200677005315871</v>
      </c>
      <c r="AB39" s="136">
        <f>'tab1 lvl'!AB39/'tab1 percent'!AB63</f>
        <v>0.23970751065533469</v>
      </c>
      <c r="AC39" s="136">
        <f>'tab1 lvl'!AC39/'tab1 percent'!AC63</f>
        <v>0.23249899158768306</v>
      </c>
      <c r="AD39" s="136">
        <f>'tab1 lvl'!AD39/'tab1 percent'!AD63</f>
        <v>0.23260562594742423</v>
      </c>
      <c r="AE39" s="136">
        <f>'tab1 lvl'!AE39/'tab1 percent'!AE63</f>
        <v>0.22423310398265503</v>
      </c>
      <c r="AF39" s="136">
        <f>'tab1 lvl'!AF39/'tab1 percent'!AF63</f>
        <v>0.2157265914022567</v>
      </c>
      <c r="AG39" s="136">
        <f>'tab1 lvl'!AG39/'tab1 percent'!AG63</f>
        <v>0.22184300871535045</v>
      </c>
      <c r="AH39" s="136">
        <f>'tab1 lvl'!AH39/'tab1 percent'!AH63</f>
        <v>0.21891771857464021</v>
      </c>
      <c r="AI39" s="136">
        <f>'tab1 lvl'!AI39/'tab1 percent'!AI63</f>
        <v>0.21949502831952716</v>
      </c>
      <c r="AJ39" s="136">
        <f>'tab1 lvl'!AJ39/'tab1 percent'!AJ63</f>
        <v>0.2079969848396146</v>
      </c>
      <c r="AK39" s="136">
        <f>'tab1 lvl'!AK39/'tab1 percent'!AK63</f>
        <v>0.20986726338489853</v>
      </c>
      <c r="AL39" s="136">
        <f>'tab1 lvl'!AL39/'tab1 percent'!AL63</f>
        <v>0.20351143210803832</v>
      </c>
      <c r="AM39" s="136">
        <f>'tab1 lvl'!AM39/'tab1 percent'!AM63</f>
        <v>0.19684310399411781</v>
      </c>
      <c r="AN39" s="136">
        <f>'tab1 lvl'!AN39/'tab1 percent'!AN63</f>
        <v>0.17921721898186826</v>
      </c>
      <c r="AO39" s="136">
        <f>'tab1 lvl'!AO39/'tab1 percent'!AO63</f>
        <v>0.16720172483742712</v>
      </c>
      <c r="AP39" s="136">
        <f>'tab1 lvl'!AP39/'tab1 percent'!AP63</f>
        <v>0.17000723009943497</v>
      </c>
      <c r="AQ39" s="136">
        <f>'tab1 lvl'!AQ39/'tab1 percent'!AQ63</f>
        <v>0.16477036383024363</v>
      </c>
      <c r="AR39" s="136">
        <f>'tab1 lvl'!AR39/'tab1 percent'!AR63</f>
        <v>0.16188223026183896</v>
      </c>
      <c r="AS39" s="136">
        <f>'tab1 lvl'!AS39/'tab1 percent'!AS63</f>
        <v>0.16018548065890678</v>
      </c>
      <c r="AT39" s="136">
        <f>'tab1 lvl'!AT39/'tab1 percent'!AT63</f>
        <v>0.15246628207770788</v>
      </c>
      <c r="AU39" s="136">
        <f>'tab1 lvl'!AU39/'tab1 percent'!AU63</f>
        <v>0.1528934581877992</v>
      </c>
      <c r="AV39" s="136">
        <f>'tab1 lvl'!AV39/'tab1 percent'!AV63</f>
        <v>0.14526090475985576</v>
      </c>
      <c r="AW39" s="136">
        <f>'tab1 lvl'!AW39/'tab1 percent'!AW63</f>
        <v>0.14501491749089254</v>
      </c>
      <c r="AX39" s="136">
        <f>'tab1 lvl'!AX39/'tab1 percent'!AX63</f>
        <v>0.14626888511126673</v>
      </c>
      <c r="AY39" s="136">
        <f>'tab1 lvl'!AY39/'tab1 percent'!AY63</f>
        <v>0.15031541304567142</v>
      </c>
    </row>
    <row r="40" spans="1:51" ht="16.5">
      <c r="A40" s="11" t="s">
        <v>28</v>
      </c>
      <c r="B40" s="12" t="s">
        <v>92</v>
      </c>
      <c r="C40" s="12"/>
      <c r="D40" s="12"/>
      <c r="E40" s="128">
        <f>'tab1 lvl'!E40/'tab1 percent'!E63</f>
        <v>0.360283944084409</v>
      </c>
      <c r="F40" s="128">
        <f>'tab1 lvl'!F40/'tab1 percent'!F63</f>
        <v>0.35292551170247088</v>
      </c>
      <c r="G40" s="128">
        <f>'tab1 lvl'!G40/'tab1 percent'!G63</f>
        <v>0.34339632436691903</v>
      </c>
      <c r="H40" s="128">
        <f>'tab1 lvl'!H40/'tab1 percent'!H63</f>
        <v>0.3019436454129385</v>
      </c>
      <c r="I40" s="128">
        <f>'tab1 lvl'!I40/'tab1 percent'!I63</f>
        <v>0.28479355557391267</v>
      </c>
      <c r="J40" s="128">
        <f>'tab1 lvl'!J40/'tab1 percent'!J63</f>
        <v>0.28157447182987461</v>
      </c>
      <c r="K40" s="128">
        <f>'tab1 lvl'!K40/'tab1 percent'!K63</f>
        <v>0.27729674144176408</v>
      </c>
      <c r="L40" s="128">
        <f>'tab1 lvl'!L40/'tab1 percent'!L63</f>
        <v>0.27713504469199945</v>
      </c>
      <c r="M40" s="128">
        <f>'tab1 lvl'!M40/'tab1 percent'!M63</f>
        <v>0.24370593812714428</v>
      </c>
      <c r="N40" s="128">
        <f>'tab1 lvl'!N40/'tab1 percent'!N63</f>
        <v>0.24925479745867657</v>
      </c>
      <c r="O40" s="128">
        <f>'tab1 lvl'!O40/'tab1 percent'!O63</f>
        <v>0.23007611490912852</v>
      </c>
      <c r="P40" s="128">
        <f>'tab1 lvl'!P40/'tab1 percent'!P63</f>
        <v>0.23132901153646768</v>
      </c>
      <c r="Q40" s="128">
        <f>'tab1 lvl'!Q40/'tab1 percent'!Q63</f>
        <v>0.21576104951979377</v>
      </c>
      <c r="R40" s="128">
        <f>'tab1 lvl'!R40/'tab1 percent'!R63</f>
        <v>0.20184163017036816</v>
      </c>
      <c r="S40" s="128">
        <f>'tab1 lvl'!S40/'tab1 percent'!S63</f>
        <v>0.18989477991709569</v>
      </c>
      <c r="T40" s="128">
        <f>'tab1 lvl'!T40/'tab1 percent'!T63</f>
        <v>0.175929524784189</v>
      </c>
      <c r="U40" s="128">
        <f>'tab1 lvl'!U40/'tab1 percent'!U63</f>
        <v>0.17470273337620681</v>
      </c>
      <c r="V40" s="128">
        <f>'tab1 lvl'!V40/'tab1 percent'!V63</f>
        <v>0.17774357091387058</v>
      </c>
      <c r="W40" s="128">
        <f>'tab1 lvl'!W40/'tab1 percent'!W63</f>
        <v>0.17630086436391357</v>
      </c>
      <c r="X40" s="128">
        <f>'tab1 lvl'!X40/'tab1 percent'!X63</f>
        <v>0.16944198366434599</v>
      </c>
      <c r="Y40" s="128">
        <f>'tab1 lvl'!Y40/'tab1 percent'!Y63</f>
        <v>0.16262709604643533</v>
      </c>
      <c r="Z40" s="128">
        <f>'tab1 lvl'!Z40/'tab1 percent'!Z63</f>
        <v>0.16640141648985751</v>
      </c>
      <c r="AA40" s="128">
        <f>'tab1 lvl'!AA40/'tab1 percent'!AA63</f>
        <v>0.16030389913848511</v>
      </c>
      <c r="AB40" s="128">
        <f>'tab1 lvl'!AB40/'tab1 percent'!AB63</f>
        <v>0.16373902757526249</v>
      </c>
      <c r="AC40" s="128">
        <f>'tab1 lvl'!AC40/'tab1 percent'!AC63</f>
        <v>0.15629740582211457</v>
      </c>
      <c r="AD40" s="128">
        <f>'tab1 lvl'!AD40/'tab1 percent'!AD63</f>
        <v>0.15130355061439438</v>
      </c>
      <c r="AE40" s="128">
        <f>'tab1 lvl'!AE40/'tab1 percent'!AE63</f>
        <v>0.1392845787199106</v>
      </c>
      <c r="AF40" s="128">
        <f>'tab1 lvl'!AF40/'tab1 percent'!AF63</f>
        <v>0.13765388605294843</v>
      </c>
      <c r="AG40" s="128">
        <f>'tab1 lvl'!AG40/'tab1 percent'!AG63</f>
        <v>0.13462735571422058</v>
      </c>
      <c r="AH40" s="128">
        <f>'tab1 lvl'!AH40/'tab1 percent'!AH63</f>
        <v>0.13544484483548899</v>
      </c>
      <c r="AI40" s="128">
        <f>'tab1 lvl'!AI40/'tab1 percent'!AI63</f>
        <v>0.16501573448125881</v>
      </c>
      <c r="AJ40" s="128">
        <f>'tab1 lvl'!AJ40/'tab1 percent'!AJ63</f>
        <v>0.15933536066387505</v>
      </c>
      <c r="AK40" s="128">
        <f>'tab1 lvl'!AK40/'tab1 percent'!AK63</f>
        <v>0.1530362947934594</v>
      </c>
      <c r="AL40" s="128">
        <f>'tab1 lvl'!AL40/'tab1 percent'!AL63</f>
        <v>0.1480959259741528</v>
      </c>
      <c r="AM40" s="128">
        <f>'tab1 lvl'!AM40/'tab1 percent'!AM63</f>
        <v>0.14404406245505214</v>
      </c>
      <c r="AN40" s="128">
        <f>'tab1 lvl'!AN40/'tab1 percent'!AN63</f>
        <v>0.14285118608507133</v>
      </c>
      <c r="AO40" s="128">
        <f>'tab1 lvl'!AO40/'tab1 percent'!AO63</f>
        <v>0.13753544749562416</v>
      </c>
      <c r="AP40" s="128">
        <f>'tab1 lvl'!AP40/'tab1 percent'!AP63</f>
        <v>0.14025504323263602</v>
      </c>
      <c r="AQ40" s="128">
        <f>'tab1 lvl'!AQ40/'tab1 percent'!AQ63</f>
        <v>0.13946750238827299</v>
      </c>
      <c r="AR40" s="128">
        <f>'tab1 lvl'!AR40/'tab1 percent'!AR63</f>
        <v>0.13860861011414896</v>
      </c>
      <c r="AS40" s="128">
        <f>'tab1 lvl'!AS40/'tab1 percent'!AS63</f>
        <v>0.13611028917751034</v>
      </c>
      <c r="AT40" s="128">
        <f>'tab1 lvl'!AT40/'tab1 percent'!AT63</f>
        <v>0.12986094045888158</v>
      </c>
      <c r="AU40" s="128">
        <f>'tab1 lvl'!AU40/'tab1 percent'!AU63</f>
        <v>0.12674344750576275</v>
      </c>
      <c r="AV40" s="128">
        <f>'tab1 lvl'!AV40/'tab1 percent'!AV63</f>
        <v>0.11920644866744033</v>
      </c>
      <c r="AW40" s="128">
        <f>'tab1 lvl'!AW40/'tab1 percent'!AW63</f>
        <v>0.11728693262505181</v>
      </c>
      <c r="AX40" s="128">
        <f>'tab1 lvl'!AX40/'tab1 percent'!AX63</f>
        <v>0.11360557922568346</v>
      </c>
      <c r="AY40" s="128">
        <f>'tab1 lvl'!AY40/'tab1 percent'!AY63</f>
        <v>0.11302443701745088</v>
      </c>
    </row>
    <row r="41" spans="1:51" ht="16.5">
      <c r="A41" s="41"/>
      <c r="B41" s="41"/>
      <c r="C41" s="41" t="s">
        <v>10</v>
      </c>
      <c r="D41" s="41"/>
      <c r="E41" s="132">
        <f>'tab1 lvl'!E41/'tab1 percent'!E63</f>
        <v>4.4897488083123556E-2</v>
      </c>
      <c r="F41" s="132">
        <f>'tab1 lvl'!F41/'tab1 percent'!F63</f>
        <v>4.2941615695978548E-2</v>
      </c>
      <c r="G41" s="132">
        <f>'tab1 lvl'!G41/'tab1 percent'!G63</f>
        <v>4.1401401973193808E-2</v>
      </c>
      <c r="H41" s="132">
        <f>'tab1 lvl'!H41/'tab1 percent'!H63</f>
        <v>5.8862907155349101E-2</v>
      </c>
      <c r="I41" s="132">
        <f>'tab1 lvl'!I41/'tab1 percent'!I63</f>
        <v>5.4934447506017621E-2</v>
      </c>
      <c r="J41" s="132">
        <f>'tab1 lvl'!J41/'tab1 percent'!J63</f>
        <v>5.7091173839700353E-2</v>
      </c>
      <c r="K41" s="132">
        <f>'tab1 lvl'!K41/'tab1 percent'!K63</f>
        <v>5.3177344319609909E-2</v>
      </c>
      <c r="L41" s="132">
        <f>'tab1 lvl'!L41/'tab1 percent'!L63</f>
        <v>8.1033120514288251E-2</v>
      </c>
      <c r="M41" s="132">
        <f>'tab1 lvl'!M41/'tab1 percent'!M63</f>
        <v>5.2175912099048198E-2</v>
      </c>
      <c r="N41" s="132">
        <f>'tab1 lvl'!N41/'tab1 percent'!N63</f>
        <v>6.0466392552477877E-2</v>
      </c>
      <c r="O41" s="132">
        <f>'tab1 lvl'!O41/'tab1 percent'!O63</f>
        <v>5.7602645479959247E-2</v>
      </c>
      <c r="P41" s="132">
        <f>'tab1 lvl'!P41/'tab1 percent'!P63</f>
        <v>6.663319543746074E-2</v>
      </c>
      <c r="Q41" s="132">
        <f>'tab1 lvl'!Q41/'tab1 percent'!Q63</f>
        <v>5.8932697449941514E-2</v>
      </c>
      <c r="R41" s="132">
        <f>'tab1 lvl'!R41/'tab1 percent'!R63</f>
        <v>5.7418676157987993E-2</v>
      </c>
      <c r="S41" s="132">
        <f>'tab1 lvl'!S41/'tab1 percent'!S63</f>
        <v>5.2571263207688422E-2</v>
      </c>
      <c r="T41" s="132">
        <f>'tab1 lvl'!T41/'tab1 percent'!T63</f>
        <v>5.7768802770342804E-2</v>
      </c>
      <c r="U41" s="132">
        <f>'tab1 lvl'!U41/'tab1 percent'!U63</f>
        <v>5.8058097307629918E-2</v>
      </c>
      <c r="V41" s="132">
        <f>'tab1 lvl'!V41/'tab1 percent'!V63</f>
        <v>6.8417729053200385E-2</v>
      </c>
      <c r="W41" s="132">
        <f>'tab1 lvl'!W41/'tab1 percent'!W63</f>
        <v>9.1671853027535388E-2</v>
      </c>
      <c r="X41" s="132">
        <f>'tab1 lvl'!X41/'tab1 percent'!X63</f>
        <v>6.2242187215666357E-2</v>
      </c>
      <c r="Y41" s="132">
        <f>'tab1 lvl'!Y41/'tab1 percent'!Y63</f>
        <v>5.7207226526813371E-2</v>
      </c>
      <c r="Z41" s="132">
        <f>'tab1 lvl'!Z41/'tab1 percent'!Z63</f>
        <v>5.8727647631943443E-2</v>
      </c>
      <c r="AA41" s="132">
        <f>'tab1 lvl'!AA41/'tab1 percent'!AA63</f>
        <v>5.9045559288118311E-2</v>
      </c>
      <c r="AB41" s="132">
        <f>'tab1 lvl'!AB41/'tab1 percent'!AB63</f>
        <v>6.1598493822001429E-2</v>
      </c>
      <c r="AC41" s="132">
        <f>'tab1 lvl'!AC41/'tab1 percent'!AC63</f>
        <v>6.1298068608016572E-2</v>
      </c>
      <c r="AD41" s="132">
        <f>'tab1 lvl'!AD41/'tab1 percent'!AD63</f>
        <v>6.0670146284376822E-2</v>
      </c>
      <c r="AE41" s="132">
        <f>'tab1 lvl'!AE41/'tab1 percent'!AE63</f>
        <v>5.8202520040594313E-2</v>
      </c>
      <c r="AF41" s="132">
        <f>'tab1 lvl'!AF41/'tab1 percent'!AF63</f>
        <v>6.3114185848138715E-2</v>
      </c>
      <c r="AG41" s="132">
        <f>'tab1 lvl'!AG41/'tab1 percent'!AG63</f>
        <v>6.3753941350978782E-2</v>
      </c>
      <c r="AH41" s="132">
        <f>'tab1 lvl'!AH41/'tab1 percent'!AH63</f>
        <v>6.6226252877566116E-2</v>
      </c>
      <c r="AI41" s="132">
        <f>'tab1 lvl'!AI41/'tab1 percent'!AI63</f>
        <v>9.8936210875651617E-2</v>
      </c>
      <c r="AJ41" s="132">
        <f>'tab1 lvl'!AJ41/'tab1 percent'!AJ63</f>
        <v>9.6629516107451199E-2</v>
      </c>
      <c r="AK41" s="132">
        <f>'tab1 lvl'!AK41/'tab1 percent'!AK63</f>
        <v>0.12572409310577329</v>
      </c>
      <c r="AL41" s="132">
        <f>'tab1 lvl'!AL41/'tab1 percent'!AL63</f>
        <v>0.12514930479190203</v>
      </c>
      <c r="AM41" s="132">
        <f>'tab1 lvl'!AM41/'tab1 percent'!AM63</f>
        <v>0.12172153485742171</v>
      </c>
      <c r="AN41" s="132">
        <f>'tab1 lvl'!AN41/'tab1 percent'!AN63</f>
        <v>0.12191761285223522</v>
      </c>
      <c r="AO41" s="132">
        <f>'tab1 lvl'!AO41/'tab1 percent'!AO63</f>
        <v>0.11796234290417183</v>
      </c>
      <c r="AP41" s="132">
        <f>'tab1 lvl'!AP41/'tab1 percent'!AP63</f>
        <v>0.12030164446864261</v>
      </c>
      <c r="AQ41" s="132">
        <f>'tab1 lvl'!AQ41/'tab1 percent'!AQ63</f>
        <v>0.12027619139404527</v>
      </c>
      <c r="AR41" s="132">
        <f>'tab1 lvl'!AR41/'tab1 percent'!AR63</f>
        <v>0.11982387197821992</v>
      </c>
      <c r="AS41" s="132">
        <f>'tab1 lvl'!AS41/'tab1 percent'!AS63</f>
        <v>0.11781281432384196</v>
      </c>
      <c r="AT41" s="132">
        <f>'tab1 lvl'!AT41/'tab1 percent'!AT63</f>
        <v>0.11263709790886482</v>
      </c>
      <c r="AU41" s="132">
        <f>'tab1 lvl'!AU41/'tab1 percent'!AU63</f>
        <v>0.10988932712420187</v>
      </c>
      <c r="AV41" s="132">
        <f>'tab1 lvl'!AV41/'tab1 percent'!AV63</f>
        <v>0.10368543881640808</v>
      </c>
      <c r="AW41" s="132">
        <f>'tab1 lvl'!AW41/'tab1 percent'!AW63</f>
        <v>0.10215919302575945</v>
      </c>
      <c r="AX41" s="132">
        <f>'tab1 lvl'!AX41/'tab1 percent'!AX63</f>
        <v>9.8613015262347642E-2</v>
      </c>
      <c r="AY41" s="132">
        <f>'tab1 lvl'!AY41/'tab1 percent'!AY63</f>
        <v>9.7774002703213944E-2</v>
      </c>
    </row>
    <row r="42" spans="1:51" ht="16.5">
      <c r="A42" s="41"/>
      <c r="B42" s="41"/>
      <c r="C42" s="41" t="s">
        <v>11</v>
      </c>
      <c r="D42" s="41"/>
      <c r="E42" s="132">
        <f>'tab1 lvl'!E42/'tab1 percent'!E63</f>
        <v>0.31538645600128545</v>
      </c>
      <c r="F42" s="132">
        <f>'tab1 lvl'!F42/'tab1 percent'!F63</f>
        <v>0.30998389600649229</v>
      </c>
      <c r="G42" s="132">
        <f>'tab1 lvl'!G42/'tab1 percent'!G63</f>
        <v>0.30199492239372522</v>
      </c>
      <c r="H42" s="132">
        <f>'tab1 lvl'!H42/'tab1 percent'!H63</f>
        <v>0.24308073825758941</v>
      </c>
      <c r="I42" s="132">
        <f>'tab1 lvl'!I42/'tab1 percent'!I63</f>
        <v>0.22985910806789506</v>
      </c>
      <c r="J42" s="132">
        <f>'tab1 lvl'!J42/'tab1 percent'!J63</f>
        <v>0.22448329799017427</v>
      </c>
      <c r="K42" s="132">
        <f>'tab1 lvl'!K42/'tab1 percent'!K63</f>
        <v>0.22411939712215412</v>
      </c>
      <c r="L42" s="132">
        <f>'tab1 lvl'!L42/'tab1 percent'!L63</f>
        <v>0.19610192417771119</v>
      </c>
      <c r="M42" s="132">
        <f>'tab1 lvl'!M42/'tab1 percent'!M63</f>
        <v>0.1915300260280961</v>
      </c>
      <c r="N42" s="132">
        <f>'tab1 lvl'!N42/'tab1 percent'!N63</f>
        <v>0.18878840490619866</v>
      </c>
      <c r="O42" s="132">
        <f>'tab1 lvl'!O42/'tab1 percent'!O63</f>
        <v>0.17247346942916927</v>
      </c>
      <c r="P42" s="132">
        <f>'tab1 lvl'!P42/'tab1 percent'!P63</f>
        <v>0.16469581609900691</v>
      </c>
      <c r="Q42" s="132">
        <f>'tab1 lvl'!Q42/'tab1 percent'!Q63</f>
        <v>0.15682835206985227</v>
      </c>
      <c r="R42" s="132">
        <f>'tab1 lvl'!R42/'tab1 percent'!R63</f>
        <v>0.14442295401238017</v>
      </c>
      <c r="S42" s="132">
        <f>'tab1 lvl'!S42/'tab1 percent'!S63</f>
        <v>0.13732351670940729</v>
      </c>
      <c r="T42" s="132">
        <f>'tab1 lvl'!T42/'tab1 percent'!T63</f>
        <v>0.11816072201384621</v>
      </c>
      <c r="U42" s="132">
        <f>'tab1 lvl'!U42/'tab1 percent'!U63</f>
        <v>0.1166446360685769</v>
      </c>
      <c r="V42" s="132">
        <f>'tab1 lvl'!V42/'tab1 percent'!V63</f>
        <v>0.10932584186067018</v>
      </c>
      <c r="W42" s="132">
        <f>'tab1 lvl'!W42/'tab1 percent'!W63</f>
        <v>8.4629011336378193E-2</v>
      </c>
      <c r="X42" s="132">
        <f>'tab1 lvl'!X42/'tab1 percent'!X63</f>
        <v>0.10719979644867964</v>
      </c>
      <c r="Y42" s="132">
        <f>'tab1 lvl'!Y42/'tab1 percent'!Y63</f>
        <v>0.10541986951962196</v>
      </c>
      <c r="Z42" s="132">
        <f>'tab1 lvl'!Z42/'tab1 percent'!Z63</f>
        <v>0.10767376885791408</v>
      </c>
      <c r="AA42" s="132">
        <f>'tab1 lvl'!AA42/'tab1 percent'!AA63</f>
        <v>0.10125833985036679</v>
      </c>
      <c r="AB42" s="132">
        <f>'tab1 lvl'!AB42/'tab1 percent'!AB63</f>
        <v>0.10214053375326106</v>
      </c>
      <c r="AC42" s="132">
        <f>'tab1 lvl'!AC42/'tab1 percent'!AC63</f>
        <v>9.4999337214097992E-2</v>
      </c>
      <c r="AD42" s="132">
        <f>'tab1 lvl'!AD42/'tab1 percent'!AD63</f>
        <v>9.0633404330017556E-2</v>
      </c>
      <c r="AE42" s="132">
        <f>'tab1 lvl'!AE42/'tab1 percent'!AE63</f>
        <v>8.1082058679316282E-2</v>
      </c>
      <c r="AF42" s="132">
        <f>'tab1 lvl'!AF42/'tab1 percent'!AF63</f>
        <v>7.4539700204809697E-2</v>
      </c>
      <c r="AG42" s="132">
        <f>'tab1 lvl'!AG42/'tab1 percent'!AG63</f>
        <v>7.0873414363241821E-2</v>
      </c>
      <c r="AH42" s="132">
        <f>'tab1 lvl'!AH42/'tab1 percent'!AH63</f>
        <v>6.9218591957922876E-2</v>
      </c>
      <c r="AI42" s="132">
        <f>'tab1 lvl'!AI42/'tab1 percent'!AI63</f>
        <v>6.6079523605607204E-2</v>
      </c>
      <c r="AJ42" s="132">
        <f>'tab1 lvl'!AJ42/'tab1 percent'!AJ63</f>
        <v>6.2705844556423848E-2</v>
      </c>
      <c r="AK42" s="132">
        <f>'tab1 lvl'!AK42/'tab1 percent'!AK63</f>
        <v>2.7312201687686093E-2</v>
      </c>
      <c r="AL42" s="132">
        <f>'tab1 lvl'!AL42/'tab1 percent'!AL63</f>
        <v>2.2946621182250757E-2</v>
      </c>
      <c r="AM42" s="132">
        <f>'tab1 lvl'!AM42/'tab1 percent'!AM63</f>
        <v>2.2322527597630423E-2</v>
      </c>
      <c r="AN42" s="132">
        <f>'tab1 lvl'!AN42/'tab1 percent'!AN63</f>
        <v>2.0933573232836122E-2</v>
      </c>
      <c r="AO42" s="132">
        <f>'tab1 lvl'!AO42/'tab1 percent'!AO63</f>
        <v>1.9573104591452319E-2</v>
      </c>
      <c r="AP42" s="132">
        <f>'tab1 lvl'!AP42/'tab1 percent'!AP63</f>
        <v>1.9953398763993397E-2</v>
      </c>
      <c r="AQ42" s="132">
        <f>'tab1 lvl'!AQ42/'tab1 percent'!AQ63</f>
        <v>1.9191310994227724E-2</v>
      </c>
      <c r="AR42" s="132">
        <f>'tab1 lvl'!AR42/'tab1 percent'!AR63</f>
        <v>1.8784738135929051E-2</v>
      </c>
      <c r="AS42" s="132">
        <f>'tab1 lvl'!AS42/'tab1 percent'!AS63</f>
        <v>1.8297474853668384E-2</v>
      </c>
      <c r="AT42" s="132">
        <f>'tab1 lvl'!AT42/'tab1 percent'!AT63</f>
        <v>1.7223842550016757E-2</v>
      </c>
      <c r="AU42" s="132">
        <f>'tab1 lvl'!AU42/'tab1 percent'!AU63</f>
        <v>1.685412038156088E-2</v>
      </c>
      <c r="AV42" s="132">
        <f>'tab1 lvl'!AV42/'tab1 percent'!AV63</f>
        <v>1.5521009851032243E-2</v>
      </c>
      <c r="AW42" s="132">
        <f>'tab1 lvl'!AW42/'tab1 percent'!AW63</f>
        <v>1.5127739599292365E-2</v>
      </c>
      <c r="AX42" s="132">
        <f>'tab1 lvl'!AX42/'tab1 percent'!AX63</f>
        <v>1.4992563963335813E-2</v>
      </c>
      <c r="AY42" s="132">
        <f>'tab1 lvl'!AY42/'tab1 percent'!AY63</f>
        <v>1.5250434314236941E-2</v>
      </c>
    </row>
    <row r="43" spans="1:51" ht="16.5">
      <c r="A43" s="2"/>
      <c r="B43" s="2"/>
      <c r="C43" s="2"/>
      <c r="D43" s="2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</row>
    <row r="44" spans="1:51" ht="16.5">
      <c r="A44" s="11" t="s">
        <v>29</v>
      </c>
      <c r="B44" s="12" t="s">
        <v>30</v>
      </c>
      <c r="C44" s="12"/>
      <c r="D44" s="12"/>
      <c r="E44" s="128">
        <f>'tab1 lvl'!E44/'tab1 percent'!E63</f>
        <v>1.0410292281703906</v>
      </c>
      <c r="F44" s="128">
        <f>'tab1 lvl'!F44/'tab1 percent'!F63</f>
        <v>1.0158544189800707</v>
      </c>
      <c r="G44" s="128">
        <f>'tab1 lvl'!G44/'tab1 percent'!G63</f>
        <v>1.0199297115525372</v>
      </c>
      <c r="H44" s="128">
        <f>'tab1 lvl'!H44/'tab1 percent'!H63</f>
        <v>0.95998701125978536</v>
      </c>
      <c r="I44" s="128">
        <f>'tab1 lvl'!I44/'tab1 percent'!I63</f>
        <v>0.93448996552057673</v>
      </c>
      <c r="J44" s="128">
        <f>'tab1 lvl'!J44/'tab1 percent'!J63</f>
        <v>0.92373233728995829</v>
      </c>
      <c r="K44" s="128">
        <f>'tab1 lvl'!K44/'tab1 percent'!K63</f>
        <v>0.92017373275250014</v>
      </c>
      <c r="L44" s="128">
        <f>'tab1 lvl'!L44/'tab1 percent'!L63</f>
        <v>0.8688228586499317</v>
      </c>
      <c r="M44" s="128">
        <f>'tab1 lvl'!M44/'tab1 percent'!M63</f>
        <v>0.82766776835373324</v>
      </c>
      <c r="N44" s="128">
        <f>'tab1 lvl'!N44/'tab1 percent'!N63</f>
        <v>0.81616309805712572</v>
      </c>
      <c r="O44" s="128">
        <f>'tab1 lvl'!O44/'tab1 percent'!O63</f>
        <v>0.77145400825812394</v>
      </c>
      <c r="P44" s="128">
        <f>'tab1 lvl'!P44/'tab1 percent'!P63</f>
        <v>0.7463891943296268</v>
      </c>
      <c r="Q44" s="128">
        <f>'tab1 lvl'!Q44/'tab1 percent'!Q63</f>
        <v>0.72687077132572686</v>
      </c>
      <c r="R44" s="128">
        <f>'tab1 lvl'!R44/'tab1 percent'!R63</f>
        <v>0.67224366134874969</v>
      </c>
      <c r="S44" s="128">
        <f>'tab1 lvl'!S44/'tab1 percent'!S63</f>
        <v>0.65886543145919862</v>
      </c>
      <c r="T44" s="128">
        <f>'tab1 lvl'!T44/'tab1 percent'!T63</f>
        <v>0.61759012194801732</v>
      </c>
      <c r="U44" s="128">
        <f>'tab1 lvl'!U44/'tab1 percent'!U63</f>
        <v>0.61499090474408502</v>
      </c>
      <c r="V44" s="128">
        <f>'tab1 lvl'!V44/'tab1 percent'!V63</f>
        <v>0.61595222494824764</v>
      </c>
      <c r="W44" s="128">
        <f>'tab1 lvl'!W44/'tab1 percent'!W63</f>
        <v>0.61600835672428167</v>
      </c>
      <c r="X44" s="128">
        <f>'tab1 lvl'!X44/'tab1 percent'!X63</f>
        <v>0.61064701795524168</v>
      </c>
      <c r="Y44" s="128">
        <f>'tab1 lvl'!Y44/'tab1 percent'!Y63</f>
        <v>0.60241210006987966</v>
      </c>
      <c r="Z44" s="128">
        <f>'tab1 lvl'!Z44/'tab1 percent'!Z63</f>
        <v>0.60379263229085189</v>
      </c>
      <c r="AA44" s="128">
        <f>'tab1 lvl'!AA44/'tab1 percent'!AA63</f>
        <v>0.60619777847133505</v>
      </c>
      <c r="AB44" s="128">
        <f>'tab1 lvl'!AB44/'tab1 percent'!AB63</f>
        <v>0.60675475112039379</v>
      </c>
      <c r="AC44" s="128">
        <f>'tab1 lvl'!AC44/'tab1 percent'!AC63</f>
        <v>0.5821487205721112</v>
      </c>
      <c r="AD44" s="128">
        <f>'tab1 lvl'!AD44/'tab1 percent'!AD63</f>
        <v>0.57907884647099472</v>
      </c>
      <c r="AE44" s="128">
        <f>'tab1 lvl'!AE44/'tab1 percent'!AE63</f>
        <v>0.56951254525642037</v>
      </c>
      <c r="AF44" s="128">
        <f>'tab1 lvl'!AF44/'tab1 percent'!AF63</f>
        <v>0.5596424021022538</v>
      </c>
      <c r="AG44" s="128">
        <f>'tab1 lvl'!AG44/'tab1 percent'!AG63</f>
        <v>0.56763729721436451</v>
      </c>
      <c r="AH44" s="128">
        <f>'tab1 lvl'!AH44/'tab1 percent'!AH63</f>
        <v>0.56574326222328086</v>
      </c>
      <c r="AI44" s="128">
        <f>'tab1 lvl'!AI44/'tab1 percent'!AI63</f>
        <v>0.59511089762942671</v>
      </c>
      <c r="AJ44" s="128">
        <f>'tab1 lvl'!AJ44/'tab1 percent'!AJ63</f>
        <v>0.57345000879721675</v>
      </c>
      <c r="AK44" s="128">
        <f>'tab1 lvl'!AK44/'tab1 percent'!AK63</f>
        <v>0.57787187222470626</v>
      </c>
      <c r="AL44" s="128">
        <f>'tab1 lvl'!AL44/'tab1 percent'!AL63</f>
        <v>0.56029503452104745</v>
      </c>
      <c r="AM44" s="128">
        <f>'tab1 lvl'!AM44/'tab1 percent'!AM63</f>
        <v>0.54703694043318352</v>
      </c>
      <c r="AN44" s="128">
        <f>'tab1 lvl'!AN44/'tab1 percent'!AN63</f>
        <v>0.54893410858714864</v>
      </c>
      <c r="AO44" s="128">
        <f>'tab1 lvl'!AO44/'tab1 percent'!AO63</f>
        <v>0.52289445444243565</v>
      </c>
      <c r="AP44" s="128">
        <f>'tab1 lvl'!AP44/'tab1 percent'!AP63</f>
        <v>0.53167187432471874</v>
      </c>
      <c r="AQ44" s="128">
        <f>'tab1 lvl'!AQ44/'tab1 percent'!AQ63</f>
        <v>0.53636637616396932</v>
      </c>
      <c r="AR44" s="128">
        <f>'tab1 lvl'!AR44/'tab1 percent'!AR63</f>
        <v>0.53106697105030753</v>
      </c>
      <c r="AS44" s="128">
        <f>'tab1 lvl'!AS44/'tab1 percent'!AS63</f>
        <v>0.51712958902776085</v>
      </c>
      <c r="AT44" s="128">
        <f>'tab1 lvl'!AT44/'tab1 percent'!AT63</f>
        <v>0.50261068300590872</v>
      </c>
      <c r="AU44" s="128">
        <f>'tab1 lvl'!AU44/'tab1 percent'!AU63</f>
        <v>0.49880976557865353</v>
      </c>
      <c r="AV44" s="128">
        <f>'tab1 lvl'!AV44/'tab1 percent'!AV63</f>
        <v>0.48325315486049375</v>
      </c>
      <c r="AW44" s="128">
        <f>'tab1 lvl'!AW44/'tab1 percent'!AW63</f>
        <v>0.48069592051632881</v>
      </c>
      <c r="AX44" s="128">
        <f>'tab1 lvl'!AX44/'tab1 percent'!AX63</f>
        <v>0.47515688254405619</v>
      </c>
      <c r="AY44" s="128">
        <f>'tab1 lvl'!AY44/'tab1 percent'!AY63</f>
        <v>0.48085695489439506</v>
      </c>
    </row>
    <row r="45" spans="1:51" ht="16.5">
      <c r="A45" s="2"/>
      <c r="B45" s="2"/>
      <c r="C45" s="2" t="s">
        <v>10</v>
      </c>
      <c r="D45" s="1"/>
      <c r="E45" s="118">
        <f>'tab1 lvl'!E45/'tab1 percent'!E63</f>
        <v>0.3491058689502094</v>
      </c>
      <c r="F45" s="118">
        <f>'tab1 lvl'!F45/'tab1 percent'!F63</f>
        <v>0.34077715140807141</v>
      </c>
      <c r="G45" s="118">
        <f>'tab1 lvl'!G45/'tab1 percent'!G63</f>
        <v>0.35095399690609758</v>
      </c>
      <c r="H45" s="118">
        <f>'tab1 lvl'!H45/'tab1 percent'!H63</f>
        <v>0.3544134746364323</v>
      </c>
      <c r="I45" s="118">
        <f>'tab1 lvl'!I45/'tab1 percent'!I63</f>
        <v>0.35160460936452209</v>
      </c>
      <c r="J45" s="118">
        <f>'tab1 lvl'!J45/'tab1 percent'!J63</f>
        <v>0.34718228602969087</v>
      </c>
      <c r="K45" s="118">
        <f>'tab1 lvl'!K45/'tab1 percent'!K63</f>
        <v>0.34940999018302171</v>
      </c>
      <c r="L45" s="118">
        <f>'tab1 lvl'!L45/'tab1 percent'!L63</f>
        <v>0.36289749997792964</v>
      </c>
      <c r="M45" s="118">
        <f>'tab1 lvl'!M45/'tab1 percent'!M63</f>
        <v>0.32619112060126376</v>
      </c>
      <c r="N45" s="118">
        <f>'tab1 lvl'!N45/'tab1 percent'!N63</f>
        <v>0.3178674454379391</v>
      </c>
      <c r="O45" s="118">
        <f>'tab1 lvl'!O45/'tab1 percent'!O63</f>
        <v>0.30855951669177212</v>
      </c>
      <c r="P45" s="118">
        <f>'tab1 lvl'!P45/'tab1 percent'!P63</f>
        <v>0.31042340005612834</v>
      </c>
      <c r="Q45" s="118">
        <f>'tab1 lvl'!Q45/'tab1 percent'!Q63</f>
        <v>0.2957900548131811</v>
      </c>
      <c r="R45" s="118">
        <f>'tab1 lvl'!R45/'tab1 percent'!R63</f>
        <v>0.27485541589918827</v>
      </c>
      <c r="S45" s="118">
        <f>'tab1 lvl'!S45/'tab1 percent'!S63</f>
        <v>0.27937472975956684</v>
      </c>
      <c r="T45" s="118">
        <f>'tab1 lvl'!T45/'tab1 percent'!T63</f>
        <v>0.28042585875424236</v>
      </c>
      <c r="U45" s="118">
        <f>'tab1 lvl'!U45/'tab1 percent'!U63</f>
        <v>0.27170798969154414</v>
      </c>
      <c r="V45" s="118">
        <f>'tab1 lvl'!V45/'tab1 percent'!V63</f>
        <v>0.27799507935249096</v>
      </c>
      <c r="W45" s="118">
        <f>'tab1 lvl'!W45/'tab1 percent'!W63</f>
        <v>0.30121403473780256</v>
      </c>
      <c r="X45" s="118">
        <f>'tab1 lvl'!X45/'tab1 percent'!X63</f>
        <v>0.26960977965178295</v>
      </c>
      <c r="Y45" s="118">
        <f>'tab1 lvl'!Y45/'tab1 percent'!Y63</f>
        <v>0.26154328624063966</v>
      </c>
      <c r="Z45" s="118">
        <f>'tab1 lvl'!Z45/'tab1 percent'!Z63</f>
        <v>0.26105355920744205</v>
      </c>
      <c r="AA45" s="118">
        <f>'tab1 lvl'!AA45/'tab1 percent'!AA63</f>
        <v>0.2629326685678095</v>
      </c>
      <c r="AB45" s="118">
        <f>'tab1 lvl'!AB45/'tab1 percent'!AB63</f>
        <v>0.26490670671179795</v>
      </c>
      <c r="AC45" s="118">
        <f>'tab1 lvl'!AC45/'tab1 percent'!AC63</f>
        <v>0.25465039177033016</v>
      </c>
      <c r="AD45" s="118">
        <f>'tab1 lvl'!AD45/'tab1 percent'!AD63</f>
        <v>0.25583981619355289</v>
      </c>
      <c r="AE45" s="118">
        <f>'tab1 lvl'!AE45/'tab1 percent'!AE63</f>
        <v>0.26419738259444908</v>
      </c>
      <c r="AF45" s="118">
        <f>'tab1 lvl'!AF45/'tab1 percent'!AF63</f>
        <v>0.26937611049518745</v>
      </c>
      <c r="AG45" s="118">
        <f>'tab1 lvl'!AG45/'tab1 percent'!AG63</f>
        <v>0.27492087413577232</v>
      </c>
      <c r="AH45" s="118">
        <f>'tab1 lvl'!AH45/'tab1 percent'!AH63</f>
        <v>0.27760695169071781</v>
      </c>
      <c r="AI45" s="118">
        <f>'tab1 lvl'!AI45/'tab1 percent'!AI63</f>
        <v>0.30953634570429234</v>
      </c>
      <c r="AJ45" s="118">
        <f>'tab1 lvl'!AJ45/'tab1 percent'!AJ63</f>
        <v>0.30274717940117835</v>
      </c>
      <c r="AK45" s="118">
        <f>'tab1 lvl'!AK45/'tab1 percent'!AK63</f>
        <v>0.34069240715212157</v>
      </c>
      <c r="AL45" s="118">
        <f>'tab1 lvl'!AL45/'tab1 percent'!AL63</f>
        <v>0.33383698123075844</v>
      </c>
      <c r="AM45" s="118">
        <f>'tab1 lvl'!AM45/'tab1 percent'!AM63</f>
        <v>0.32787130884143528</v>
      </c>
      <c r="AN45" s="118">
        <f>'tab1 lvl'!AN45/'tab1 percent'!AN63</f>
        <v>0.3487833163724442</v>
      </c>
      <c r="AO45" s="118">
        <f>'tab1 lvl'!AO45/'tab1 percent'!AO63</f>
        <v>0.33611962501355624</v>
      </c>
      <c r="AP45" s="118">
        <f>'tab1 lvl'!AP45/'tab1 percent'!AP63</f>
        <v>0.34171124546129039</v>
      </c>
      <c r="AQ45" s="118">
        <f>'tab1 lvl'!AQ45/'tab1 percent'!AQ63</f>
        <v>0.35240470133949797</v>
      </c>
      <c r="AR45" s="118">
        <f>'tab1 lvl'!AR45/'tab1 percent'!AR63</f>
        <v>0.35040000265253957</v>
      </c>
      <c r="AS45" s="118">
        <f>'tab1 lvl'!AS45/'tab1 percent'!AS63</f>
        <v>0.3386466335151857</v>
      </c>
      <c r="AT45" s="118">
        <f>'tab1 lvl'!AT45/'tab1 percent'!AT63</f>
        <v>0.33292055837818413</v>
      </c>
      <c r="AU45" s="118">
        <f>'tab1 lvl'!AU45/'tab1 percent'!AU63</f>
        <v>0.32906218700929346</v>
      </c>
      <c r="AV45" s="118">
        <f>'tab1 lvl'!AV45/'tab1 percent'!AV63</f>
        <v>0.32247124024960577</v>
      </c>
      <c r="AW45" s="118">
        <f>'tab1 lvl'!AW45/'tab1 percent'!AW63</f>
        <v>0.32055326342614393</v>
      </c>
      <c r="AX45" s="118">
        <f>'tab1 lvl'!AX45/'tab1 percent'!AX63</f>
        <v>0.3138954334694537</v>
      </c>
      <c r="AY45" s="118">
        <f>'tab1 lvl'!AY45/'tab1 percent'!AY63</f>
        <v>0.31529110753448669</v>
      </c>
    </row>
    <row r="46" spans="1:51" ht="16.5">
      <c r="A46" s="2"/>
      <c r="B46" s="2"/>
      <c r="C46" s="2" t="s">
        <v>11</v>
      </c>
      <c r="D46" s="2"/>
      <c r="E46" s="118">
        <f>'tab1 lvl'!E46/'tab1 percent'!E63</f>
        <v>0.69192335922018111</v>
      </c>
      <c r="F46" s="118">
        <f>'tab1 lvl'!F46/'tab1 percent'!F63</f>
        <v>0.67507726757199915</v>
      </c>
      <c r="G46" s="118">
        <f>'tab1 lvl'!G46/'tab1 percent'!G63</f>
        <v>0.66897571464643968</v>
      </c>
      <c r="H46" s="118">
        <f>'tab1 lvl'!H46/'tab1 percent'!H63</f>
        <v>0.60557353662335323</v>
      </c>
      <c r="I46" s="118">
        <f>'tab1 lvl'!I46/'tab1 percent'!I63</f>
        <v>0.58288535615605463</v>
      </c>
      <c r="J46" s="118">
        <f>'tab1 lvl'!J46/'tab1 percent'!J63</f>
        <v>0.57655005126026737</v>
      </c>
      <c r="K46" s="118">
        <f>'tab1 lvl'!K46/'tab1 percent'!K63</f>
        <v>0.57076374256947848</v>
      </c>
      <c r="L46" s="118">
        <f>'tab1 lvl'!L46/'tab1 percent'!L63</f>
        <v>0.50592535867200206</v>
      </c>
      <c r="M46" s="118">
        <f>'tab1 lvl'!M46/'tab1 percent'!M63</f>
        <v>0.50147664775246947</v>
      </c>
      <c r="N46" s="118">
        <f>'tab1 lvl'!N46/'tab1 percent'!N63</f>
        <v>0.49829565261918668</v>
      </c>
      <c r="O46" s="118">
        <f>'tab1 lvl'!O46/'tab1 percent'!O63</f>
        <v>0.46289449156635187</v>
      </c>
      <c r="P46" s="118">
        <f>'tab1 lvl'!P46/'tab1 percent'!P63</f>
        <v>0.43596579427349846</v>
      </c>
      <c r="Q46" s="118">
        <f>'tab1 lvl'!Q46/'tab1 percent'!Q63</f>
        <v>0.43108071651254587</v>
      </c>
      <c r="R46" s="118">
        <f>'tab1 lvl'!R46/'tab1 percent'!R63</f>
        <v>0.39738824544956142</v>
      </c>
      <c r="S46" s="118">
        <f>'tab1 lvl'!S46/'tab1 percent'!S63</f>
        <v>0.37949070169963184</v>
      </c>
      <c r="T46" s="118">
        <f>'tab1 lvl'!T46/'tab1 percent'!T63</f>
        <v>0.33716426319377502</v>
      </c>
      <c r="U46" s="118">
        <f>'tab1 lvl'!U46/'tab1 percent'!U63</f>
        <v>0.34328291505254088</v>
      </c>
      <c r="V46" s="118">
        <f>'tab1 lvl'!V46/'tab1 percent'!V63</f>
        <v>0.33795714559575674</v>
      </c>
      <c r="W46" s="118">
        <f>'tab1 lvl'!W46/'tab1 percent'!W63</f>
        <v>0.31479432198647911</v>
      </c>
      <c r="X46" s="118">
        <f>'tab1 lvl'!X46/'tab1 percent'!X63</f>
        <v>0.34103723830345878</v>
      </c>
      <c r="Y46" s="118">
        <f>'tab1 lvl'!Y46/'tab1 percent'!Y63</f>
        <v>0.34086881382924006</v>
      </c>
      <c r="Z46" s="118">
        <f>'tab1 lvl'!Z46/'tab1 percent'!Z63</f>
        <v>0.3427390730834099</v>
      </c>
      <c r="AA46" s="118">
        <f>'tab1 lvl'!AA46/'tab1 percent'!AA63</f>
        <v>0.34326510990352549</v>
      </c>
      <c r="AB46" s="118">
        <f>'tab1 lvl'!AB46/'tab1 percent'!AB63</f>
        <v>0.34184804440859579</v>
      </c>
      <c r="AC46" s="118">
        <f>'tab1 lvl'!AC46/'tab1 percent'!AC63</f>
        <v>0.32749832880178109</v>
      </c>
      <c r="AD46" s="118">
        <f>'tab1 lvl'!AD46/'tab1 percent'!AD63</f>
        <v>0.32323903027744177</v>
      </c>
      <c r="AE46" s="118">
        <f>'tab1 lvl'!AE46/'tab1 percent'!AE63</f>
        <v>0.30531516266197128</v>
      </c>
      <c r="AF46" s="118">
        <f>'tab1 lvl'!AF46/'tab1 percent'!AF63</f>
        <v>0.29026629160706635</v>
      </c>
      <c r="AG46" s="118">
        <f>'tab1 lvl'!AG46/'tab1 percent'!AG63</f>
        <v>0.2927164230785923</v>
      </c>
      <c r="AH46" s="118">
        <f>'tab1 lvl'!AH46/'tab1 percent'!AH63</f>
        <v>0.28813631053256306</v>
      </c>
      <c r="AI46" s="118">
        <f>'tab1 lvl'!AI46/'tab1 percent'!AI63</f>
        <v>0.28557455192513437</v>
      </c>
      <c r="AJ46" s="118">
        <f>'tab1 lvl'!AJ46/'tab1 percent'!AJ63</f>
        <v>0.27070282939603846</v>
      </c>
      <c r="AK46" s="118">
        <f>'tab1 lvl'!AK46/'tab1 percent'!AK63</f>
        <v>0.23717946507258461</v>
      </c>
      <c r="AL46" s="118">
        <f>'tab1 lvl'!AL46/'tab1 percent'!AL63</f>
        <v>0.22645805329028906</v>
      </c>
      <c r="AM46" s="118">
        <f>'tab1 lvl'!AM46/'tab1 percent'!AM63</f>
        <v>0.21916563159174823</v>
      </c>
      <c r="AN46" s="118">
        <f>'tab1 lvl'!AN46/'tab1 percent'!AN63</f>
        <v>0.20015079221470439</v>
      </c>
      <c r="AO46" s="118">
        <f>'tab1 lvl'!AO46/'tab1 percent'!AO63</f>
        <v>0.18677482942887944</v>
      </c>
      <c r="AP46" s="118">
        <f>'tab1 lvl'!AP46/'tab1 percent'!AP63</f>
        <v>0.18996062886342838</v>
      </c>
      <c r="AQ46" s="118">
        <f>'tab1 lvl'!AQ46/'tab1 percent'!AQ63</f>
        <v>0.18396167482447137</v>
      </c>
      <c r="AR46" s="118">
        <f>'tab1 lvl'!AR46/'tab1 percent'!AR63</f>
        <v>0.180666968397768</v>
      </c>
      <c r="AS46" s="118">
        <f>'tab1 lvl'!AS46/'tab1 percent'!AS63</f>
        <v>0.17848295551257518</v>
      </c>
      <c r="AT46" s="118">
        <f>'tab1 lvl'!AT46/'tab1 percent'!AT63</f>
        <v>0.16969012462772462</v>
      </c>
      <c r="AU46" s="118">
        <f>'tab1 lvl'!AU46/'tab1 percent'!AU63</f>
        <v>0.1697475785693601</v>
      </c>
      <c r="AV46" s="118">
        <f>'tab1 lvl'!AV46/'tab1 percent'!AV63</f>
        <v>0.160781914610888</v>
      </c>
      <c r="AW46" s="118">
        <f>'tab1 lvl'!AW46/'tab1 percent'!AW63</f>
        <v>0.16014265709018491</v>
      </c>
      <c r="AX46" s="118">
        <f>'tab1 lvl'!AX46/'tab1 percent'!AX63</f>
        <v>0.16126144907460255</v>
      </c>
      <c r="AY46" s="118">
        <f>'tab1 lvl'!AY46/'tab1 percent'!AY63</f>
        <v>0.16556584735990837</v>
      </c>
    </row>
    <row r="47" spans="1:51" ht="16.5">
      <c r="A47" s="2"/>
      <c r="B47" s="2"/>
      <c r="C47" s="2"/>
      <c r="D47" s="2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</row>
    <row r="48" spans="1:51" ht="16.5">
      <c r="A48" s="23" t="s">
        <v>31</v>
      </c>
      <c r="B48" s="46" t="s">
        <v>32</v>
      </c>
      <c r="C48" s="24"/>
      <c r="D48" s="24"/>
      <c r="E48" s="129">
        <f>'tab1 lvl'!E48/'tab1 percent'!E63</f>
        <v>7.9340581650688233E-2</v>
      </c>
      <c r="F48" s="129">
        <f>'tab1 lvl'!F48/'tab1 percent'!F63</f>
        <v>8.2409541579775356E-2</v>
      </c>
      <c r="G48" s="129">
        <f>'tab1 lvl'!G48/'tab1 percent'!G63</f>
        <v>9.3227563998407051E-2</v>
      </c>
      <c r="H48" s="129">
        <f>'tab1 lvl'!H48/'tab1 percent'!H63</f>
        <v>5.6005593274790128E-2</v>
      </c>
      <c r="I48" s="129">
        <f>'tab1 lvl'!I48/'tab1 percent'!I63</f>
        <v>5.4300751457978053E-2</v>
      </c>
      <c r="J48" s="129">
        <f>'tab1 lvl'!J48/'tab1 percent'!J63</f>
        <v>4.7878500727223709E-2</v>
      </c>
      <c r="K48" s="129">
        <f>'tab1 lvl'!K48/'tab1 percent'!K63</f>
        <v>4.8533935070902506E-2</v>
      </c>
      <c r="L48" s="129">
        <f>'tab1 lvl'!L48/'tab1 percent'!L63</f>
        <v>4.5355642640130339E-2</v>
      </c>
      <c r="M48" s="129">
        <f>'tab1 lvl'!M48/'tab1 percent'!M63</f>
        <v>4.192508816597014E-2</v>
      </c>
      <c r="N48" s="129">
        <f>'tab1 lvl'!N48/'tab1 percent'!N63</f>
        <v>4.1984472651945125E-2</v>
      </c>
      <c r="O48" s="129">
        <f>'tab1 lvl'!O48/'tab1 percent'!O63</f>
        <v>3.8300310739812042E-2</v>
      </c>
      <c r="P48" s="129">
        <f>'tab1 lvl'!P48/'tab1 percent'!P63</f>
        <v>3.5995847378880806E-2</v>
      </c>
      <c r="Q48" s="129">
        <f>'tab1 lvl'!Q48/'tab1 percent'!Q63</f>
        <v>3.6104365048517016E-2</v>
      </c>
      <c r="R48" s="129">
        <f>'tab1 lvl'!R48/'tab1 percent'!R63</f>
        <v>3.384921941108783E-2</v>
      </c>
      <c r="S48" s="129">
        <f>'tab1 lvl'!S48/'tab1 percent'!S63</f>
        <v>3.4304646111796115E-2</v>
      </c>
      <c r="T48" s="129">
        <f>'tab1 lvl'!T48/'tab1 percent'!T63</f>
        <v>3.3452826539765647E-2</v>
      </c>
      <c r="U48" s="129">
        <f>'tab1 lvl'!U48/'tab1 percent'!U63</f>
        <v>3.3735778135862482E-2</v>
      </c>
      <c r="V48" s="129">
        <f>'tab1 lvl'!V48/'tab1 percent'!V63</f>
        <v>3.190204504528088E-2</v>
      </c>
      <c r="W48" s="129">
        <f>'tab1 lvl'!W48/'tab1 percent'!W63</f>
        <v>2.8271764422584417E-2</v>
      </c>
      <c r="X48" s="129">
        <f>'tab1 lvl'!X48/'tab1 percent'!X63</f>
        <v>2.8874601843851683E-2</v>
      </c>
      <c r="Y48" s="129">
        <f>'tab1 lvl'!Y48/'tab1 percent'!Y63</f>
        <v>3.138983559185754E-2</v>
      </c>
      <c r="Z48" s="129">
        <f>'tab1 lvl'!Z48/'tab1 percent'!Z63</f>
        <v>3.0837110783660065E-2</v>
      </c>
      <c r="AA48" s="129">
        <f>'tab1 lvl'!AA48/'tab1 percent'!AA63</f>
        <v>2.8616352002127667E-2</v>
      </c>
      <c r="AB48" s="129">
        <f>'tab1 lvl'!AB48/'tab1 percent'!AB63</f>
        <v>2.6380790873025809E-2</v>
      </c>
      <c r="AC48" s="129">
        <f>'tab1 lvl'!AC48/'tab1 percent'!AC63</f>
        <v>2.6211852014905425E-2</v>
      </c>
      <c r="AD48" s="129">
        <f>'tab1 lvl'!AD48/'tab1 percent'!AD63</f>
        <v>2.5807723815096547E-2</v>
      </c>
      <c r="AE48" s="129">
        <f>'tab1 lvl'!AE48/'tab1 percent'!AE63</f>
        <v>2.5076570464211998E-2</v>
      </c>
      <c r="AF48" s="129">
        <f>'tab1 lvl'!AF48/'tab1 percent'!AF63</f>
        <v>2.4359247757533752E-2</v>
      </c>
      <c r="AG48" s="129">
        <f>'tab1 lvl'!AG48/'tab1 percent'!AG63</f>
        <v>2.2499489026219403E-2</v>
      </c>
      <c r="AH48" s="129">
        <f>'tab1 lvl'!AH48/'tab1 percent'!AH63</f>
        <v>2.2206658967550183E-2</v>
      </c>
      <c r="AI48" s="129">
        <f>'tab1 lvl'!AI48/'tab1 percent'!AI63</f>
        <v>2.168804605759047E-2</v>
      </c>
      <c r="AJ48" s="129">
        <f>'tab1 lvl'!AJ48/'tab1 percent'!AJ63</f>
        <v>2.0607966372805708E-2</v>
      </c>
      <c r="AK48" s="129">
        <f>'tab1 lvl'!AK48/'tab1 percent'!AK63</f>
        <v>2.0603718802908427E-2</v>
      </c>
      <c r="AL48" s="129">
        <f>'tab1 lvl'!AL48/'tab1 percent'!AL63</f>
        <v>2.0027229513155834E-2</v>
      </c>
      <c r="AM48" s="129">
        <f>'tab1 lvl'!AM48/'tab1 percent'!AM63</f>
        <v>1.9719996948639906E-2</v>
      </c>
      <c r="AN48" s="129">
        <f>'tab1 lvl'!AN48/'tab1 percent'!AN63</f>
        <v>1.9316663272130361E-2</v>
      </c>
      <c r="AO48" s="129">
        <f>'tab1 lvl'!AO48/'tab1 percent'!AO63</f>
        <v>1.8012959464002134E-2</v>
      </c>
      <c r="AP48" s="129">
        <f>'tab1 lvl'!AP48/'tab1 percent'!AP63</f>
        <v>1.4272297980673622E-2</v>
      </c>
      <c r="AQ48" s="129">
        <f>'tab1 lvl'!AQ48/'tab1 percent'!AQ63</f>
        <v>1.4773317250148445E-2</v>
      </c>
      <c r="AR48" s="129">
        <f>'tab1 lvl'!AR48/'tab1 percent'!AR63</f>
        <v>1.8668485601552414E-2</v>
      </c>
      <c r="AS48" s="129">
        <f>'tab1 lvl'!AS48/'tab1 percent'!AS63</f>
        <v>1.8286976108545471E-2</v>
      </c>
      <c r="AT48" s="129">
        <f>'tab1 lvl'!AT48/'tab1 percent'!AT63</f>
        <v>5.6674713050984728E-3</v>
      </c>
      <c r="AU48" s="129">
        <f>'tab1 lvl'!AU48/'tab1 percent'!AU63</f>
        <v>5.3829674380857723E-3</v>
      </c>
      <c r="AV48" s="129">
        <f>'tab1 lvl'!AV48/'tab1 percent'!AV63</f>
        <v>4.9024198559552302E-3</v>
      </c>
      <c r="AW48" s="129">
        <f>'tab1 lvl'!AW48/'tab1 percent'!AW63</f>
        <v>4.7177768417630888E-3</v>
      </c>
      <c r="AX48" s="129">
        <f>'tab1 lvl'!AX48/'tab1 percent'!AX63</f>
        <v>4.5032718252805198E-3</v>
      </c>
      <c r="AY48" s="129">
        <f>'tab1 lvl'!AY48/'tab1 percent'!AY63</f>
        <v>4.5751277751798049E-3</v>
      </c>
    </row>
    <row r="49" spans="1:51" ht="16.5">
      <c r="A49" s="11"/>
      <c r="B49" s="62"/>
      <c r="C49" s="12" t="s">
        <v>10</v>
      </c>
      <c r="D49" s="12"/>
      <c r="E49" s="128">
        <f>'tab1 lvl'!E49/'tab1 percent'!E63</f>
        <v>4.3773124096191954E-2</v>
      </c>
      <c r="F49" s="128">
        <f>'tab1 lvl'!F49/'tab1 percent'!F63</f>
        <v>4.3673481605651508E-2</v>
      </c>
      <c r="G49" s="128">
        <f>'tab1 lvl'!G49/'tab1 percent'!G63</f>
        <v>4.3996905316449154E-2</v>
      </c>
      <c r="H49" s="128">
        <f>'tab1 lvl'!H49/'tab1 percent'!H63</f>
        <v>4.7076664384959478E-2</v>
      </c>
      <c r="I49" s="128">
        <f>'tab1 lvl'!I49/'tab1 percent'!I63</f>
        <v>4.5809194271222743E-2</v>
      </c>
      <c r="J49" s="128">
        <f>'tab1 lvl'!J49/'tab1 percent'!J63</f>
        <v>4.3337297757729973E-2</v>
      </c>
      <c r="K49" s="128">
        <f>'tab1 lvl'!K49/'tab1 percent'!K63</f>
        <v>4.4091204262702369E-2</v>
      </c>
      <c r="L49" s="128">
        <f>'tab1 lvl'!L49/'tab1 percent'!L63</f>
        <v>4.1265994452027652E-2</v>
      </c>
      <c r="M49" s="128">
        <f>'tab1 lvl'!M49/'tab1 percent'!M63</f>
        <v>4.0541637531127647E-2</v>
      </c>
      <c r="N49" s="128">
        <f>'tab1 lvl'!N49/'tab1 percent'!N63</f>
        <v>4.0573221515034175E-2</v>
      </c>
      <c r="O49" s="128">
        <f>'tab1 lvl'!O49/'tab1 percent'!O63</f>
        <v>3.7002544174795572E-2</v>
      </c>
      <c r="P49" s="128">
        <f>'tab1 lvl'!P49/'tab1 percent'!P63</f>
        <v>3.5235222186432262E-2</v>
      </c>
      <c r="Q49" s="128">
        <f>'tab1 lvl'!Q49/'tab1 percent'!Q63</f>
        <v>3.5373823445577615E-2</v>
      </c>
      <c r="R49" s="128">
        <f>'tab1 lvl'!R49/'tab1 percent'!R63</f>
        <v>3.3165627474975819E-2</v>
      </c>
      <c r="S49" s="128">
        <f>'tab1 lvl'!S49/'tab1 percent'!S63</f>
        <v>3.3652948506643139E-2</v>
      </c>
      <c r="T49" s="128">
        <f>'tab1 lvl'!T49/'tab1 percent'!T63</f>
        <v>3.2869602585103914E-2</v>
      </c>
      <c r="U49" s="128">
        <f>'tab1 lvl'!U49/'tab1 percent'!U63</f>
        <v>3.3158507553642448E-2</v>
      </c>
      <c r="V49" s="128">
        <f>'tab1 lvl'!V49/'tab1 percent'!V63</f>
        <v>3.1304086646100938E-2</v>
      </c>
      <c r="W49" s="128">
        <f>'tab1 lvl'!W49/'tab1 percent'!W63</f>
        <v>2.766643029810377E-2</v>
      </c>
      <c r="X49" s="128">
        <f>'tab1 lvl'!X49/'tab1 percent'!X63</f>
        <v>2.8276226239340136E-2</v>
      </c>
      <c r="Y49" s="128">
        <f>'tab1 lvl'!Y49/'tab1 percent'!Y63</f>
        <v>3.0788460977441031E-2</v>
      </c>
      <c r="Z49" s="128">
        <f>'tab1 lvl'!Z49/'tab1 percent'!Z63</f>
        <v>3.0241039162540981E-2</v>
      </c>
      <c r="AA49" s="128">
        <f>'tab1 lvl'!AA49/'tab1 percent'!AA63</f>
        <v>2.8031243766602605E-2</v>
      </c>
      <c r="AB49" s="128">
        <f>'tab1 lvl'!AB49/'tab1 percent'!AB63</f>
        <v>2.5823860850722444E-2</v>
      </c>
      <c r="AC49" s="128">
        <f>'tab1 lvl'!AC49/'tab1 percent'!AC63</f>
        <v>2.5680897615301162E-2</v>
      </c>
      <c r="AD49" s="128">
        <f>'tab1 lvl'!AD49/'tab1 percent'!AD63</f>
        <v>2.5282270333528378E-2</v>
      </c>
      <c r="AE49" s="128">
        <f>'tab1 lvl'!AE49/'tab1 percent'!AE63</f>
        <v>2.4590806983135111E-2</v>
      </c>
      <c r="AF49" s="128">
        <f>'tab1 lvl'!AF49/'tab1 percent'!AF63</f>
        <v>2.3886097375681405E-2</v>
      </c>
      <c r="AG49" s="128">
        <f>'tab1 lvl'!AG49/'tab1 percent'!AG63</f>
        <v>2.2041543392089247E-2</v>
      </c>
      <c r="AH49" s="128">
        <f>'tab1 lvl'!AH49/'tab1 percent'!AH63</f>
        <v>2.1756405758802552E-2</v>
      </c>
      <c r="AI49" s="128">
        <f>'tab1 lvl'!AI49/'tab1 percent'!AI63</f>
        <v>2.1243859887510642E-2</v>
      </c>
      <c r="AJ49" s="128">
        <f>'tab1 lvl'!AJ49/'tab1 percent'!AJ63</f>
        <v>2.0169168074477873E-2</v>
      </c>
      <c r="AK49" s="128">
        <f>'tab1 lvl'!AK49/'tab1 percent'!AK63</f>
        <v>2.0181741624284273E-2</v>
      </c>
      <c r="AL49" s="128">
        <f>'tab1 lvl'!AL49/'tab1 percent'!AL63</f>
        <v>1.9620315225581372E-2</v>
      </c>
      <c r="AM49" s="128">
        <f>'tab1 lvl'!AM49/'tab1 percent'!AM63</f>
        <v>1.9325959989525996E-2</v>
      </c>
      <c r="AN49" s="128">
        <f>'tab1 lvl'!AN49/'tab1 percent'!AN63</f>
        <v>1.8939808195916157E-2</v>
      </c>
      <c r="AO49" s="128">
        <f>'tab1 lvl'!AO49/'tab1 percent'!AO63</f>
        <v>1.7644808679827054E-2</v>
      </c>
      <c r="AP49" s="128">
        <f>'tab1 lvl'!AP49/'tab1 percent'!AP63</f>
        <v>1.3891049799545153E-2</v>
      </c>
      <c r="AQ49" s="128">
        <f>'tab1 lvl'!AQ49/'tab1 percent'!AQ63</f>
        <v>1.4773317250148445E-2</v>
      </c>
      <c r="AR49" s="128">
        <f>'tab1 lvl'!AR49/'tab1 percent'!AR63</f>
        <v>1.829507603606426E-2</v>
      </c>
      <c r="AS49" s="128">
        <f>'tab1 lvl'!AS49/'tab1 percent'!AS63</f>
        <v>1.7917021136138512E-2</v>
      </c>
      <c r="AT49" s="128">
        <f>'tab1 lvl'!AT49/'tab1 percent'!AT63</f>
        <v>5.3155161778037563E-3</v>
      </c>
      <c r="AU49" s="128">
        <f>'tab1 lvl'!AU49/'tab1 percent'!AU63</f>
        <v>5.0291985129696471E-3</v>
      </c>
      <c r="AV49" s="128">
        <f>'tab1 lvl'!AV49/'tab1 percent'!AV63</f>
        <v>4.559139730514028E-3</v>
      </c>
      <c r="AW49" s="128">
        <f>'tab1 lvl'!AW49/'tab1 percent'!AW63</f>
        <v>4.3778061756209628E-3</v>
      </c>
      <c r="AX49" s="128">
        <f>'tab1 lvl'!AX49/'tab1 percent'!AX63</f>
        <v>4.16544545261021E-3</v>
      </c>
      <c r="AY49" s="128">
        <f>'tab1 lvl'!AY49/'tab1 percent'!AY63</f>
        <v>4.2277985233850294E-3</v>
      </c>
    </row>
    <row r="50" spans="1:51" ht="16.5">
      <c r="A50" s="2"/>
      <c r="B50" s="2"/>
      <c r="C50" s="2"/>
      <c r="D50" s="2" t="s">
        <v>33</v>
      </c>
      <c r="E50" s="118">
        <f>'tab1 lvl'!E50/'tab1 percent'!E63</f>
        <v>1.8629960901933477E-2</v>
      </c>
      <c r="F50" s="118">
        <f>'tab1 lvl'!F50/'tab1 percent'!F63</f>
        <v>2.005567695393181E-2</v>
      </c>
      <c r="G50" s="118">
        <f>'tab1 lvl'!G50/'tab1 percent'!G63</f>
        <v>2.0543757618377401E-2</v>
      </c>
      <c r="H50" s="118">
        <f>'tab1 lvl'!H50/'tab1 percent'!H63</f>
        <v>2.0103760715642321E-2</v>
      </c>
      <c r="I50" s="118">
        <f>'tab1 lvl'!I50/'tab1 percent'!I63</f>
        <v>2.1016174785283413E-2</v>
      </c>
      <c r="J50" s="118">
        <f>'tab1 lvl'!J50/'tab1 percent'!J63</f>
        <v>1.9622229838339857E-2</v>
      </c>
      <c r="K50" s="118">
        <f>'tab1 lvl'!K50/'tab1 percent'!K63</f>
        <v>2.1227991088447307E-2</v>
      </c>
      <c r="L50" s="118">
        <f>'tab1 lvl'!L50/'tab1 percent'!L63</f>
        <v>2.0846285940733567E-2</v>
      </c>
      <c r="M50" s="118">
        <f>'tab1 lvl'!M50/'tab1 percent'!M63</f>
        <v>2.1398857400225062E-2</v>
      </c>
      <c r="N50" s="118">
        <f>'tab1 lvl'!N50/'tab1 percent'!N63</f>
        <v>2.1076692542952344E-2</v>
      </c>
      <c r="O50" s="118">
        <f>'tab1 lvl'!O50/'tab1 percent'!O63</f>
        <v>1.9458315836123341E-2</v>
      </c>
      <c r="P50" s="118">
        <f>'tab1 lvl'!P50/'tab1 percent'!P63</f>
        <v>1.8897629257248704E-2</v>
      </c>
      <c r="Q50" s="118">
        <f>'tab1 lvl'!Q50/'tab1 percent'!Q63</f>
        <v>1.9435840808116379E-2</v>
      </c>
      <c r="R50" s="118">
        <f>'tab1 lvl'!R50/'tab1 percent'!R63</f>
        <v>1.8857393587268199E-2</v>
      </c>
      <c r="S50" s="118">
        <f>'tab1 lvl'!S50/'tab1 percent'!S63</f>
        <v>1.953899776364822E-2</v>
      </c>
      <c r="T50" s="118">
        <f>'tab1 lvl'!T50/'tab1 percent'!T63</f>
        <v>2.0050136948818905E-2</v>
      </c>
      <c r="U50" s="118">
        <f>'tab1 lvl'!U50/'tab1 percent'!U63</f>
        <v>1.9241878791093032E-2</v>
      </c>
      <c r="V50" s="118">
        <f>'tab1 lvl'!V50/'tab1 percent'!V63</f>
        <v>1.9320669658295708E-2</v>
      </c>
      <c r="W50" s="118">
        <f>'tab1 lvl'!W50/'tab1 percent'!W63</f>
        <v>1.8947623298578728E-2</v>
      </c>
      <c r="X50" s="118">
        <f>'tab1 lvl'!X50/'tab1 percent'!X63</f>
        <v>1.8873440062645522E-2</v>
      </c>
      <c r="Y50" s="118">
        <f>'tab1 lvl'!Y50/'tab1 percent'!Y63</f>
        <v>2.1942496303465404E-2</v>
      </c>
      <c r="Z50" s="118">
        <f>'tab1 lvl'!Z50/'tab1 percent'!Z63</f>
        <v>2.1468745893269879E-2</v>
      </c>
      <c r="AA50" s="118">
        <f>'tab1 lvl'!AA50/'tab1 percent'!AA63</f>
        <v>1.9069209312339512E-2</v>
      </c>
      <c r="AB50" s="118">
        <f>'tab1 lvl'!AB50/'tab1 percent'!AB63</f>
        <v>1.7462933316787402E-2</v>
      </c>
      <c r="AC50" s="118">
        <f>'tab1 lvl'!AC50/'tab1 percent'!AC63</f>
        <v>1.7977462860404952E-2</v>
      </c>
      <c r="AD50" s="118">
        <f>'tab1 lvl'!AD50/'tab1 percent'!AD63</f>
        <v>1.7328262141603275E-2</v>
      </c>
      <c r="AE50" s="118">
        <f>'tab1 lvl'!AE50/'tab1 percent'!AE63</f>
        <v>1.695725053308551E-2</v>
      </c>
      <c r="AF50" s="118">
        <f>'tab1 lvl'!AF50/'tab1 percent'!AF63</f>
        <v>1.6446973836783112E-2</v>
      </c>
      <c r="AG50" s="118">
        <f>'tab1 lvl'!AG50/'tab1 percent'!AG63</f>
        <v>1.5000166970676578E-2</v>
      </c>
      <c r="AH50" s="118">
        <f>'tab1 lvl'!AH50/'tab1 percent'!AH63</f>
        <v>1.481461090867499E-2</v>
      </c>
      <c r="AI50" s="118">
        <f>'tab1 lvl'!AI50/'tab1 percent'!AI63</f>
        <v>1.426016120492692E-2</v>
      </c>
      <c r="AJ50" s="118">
        <f>'tab1 lvl'!AJ50/'tab1 percent'!AJ63</f>
        <v>1.3451330933951277E-2</v>
      </c>
      <c r="AK50" s="118">
        <f>'tab1 lvl'!AK50/'tab1 percent'!AK63</f>
        <v>1.4115490802466008E-2</v>
      </c>
      <c r="AL50" s="118">
        <f>'tab1 lvl'!AL50/'tab1 percent'!AL63</f>
        <v>1.367033511475777E-2</v>
      </c>
      <c r="AM50" s="118">
        <f>'tab1 lvl'!AM50/'tab1 percent'!AM63</f>
        <v>1.3748590056176473E-2</v>
      </c>
      <c r="AN50" s="118">
        <f>'tab1 lvl'!AN50/'tab1 percent'!AN63</f>
        <v>1.4088509243696364E-2</v>
      </c>
      <c r="AO50" s="118">
        <f>'tab1 lvl'!AO50/'tab1 percent'!AO63</f>
        <v>1.3506589852670137E-2</v>
      </c>
      <c r="AP50" s="118">
        <f>'tab1 lvl'!AP50/'tab1 percent'!AP63</f>
        <v>1.3891049799545153E-2</v>
      </c>
      <c r="AQ50" s="118">
        <f>'tab1 lvl'!AQ50/'tab1 percent'!AQ63</f>
        <v>1.4773317250148445E-2</v>
      </c>
      <c r="AR50" s="118">
        <f>'tab1 lvl'!AR50/'tab1 percent'!AR63</f>
        <v>1.4796029140154732E-2</v>
      </c>
      <c r="AS50" s="118">
        <f>'tab1 lvl'!AS50/'tab1 percent'!AS63</f>
        <v>1.4646313712652582E-2</v>
      </c>
      <c r="AT50" s="118">
        <f>'tab1 lvl'!AT50/'tab1 percent'!AT63</f>
        <v>2.2856380031374521E-3</v>
      </c>
      <c r="AU50" s="118">
        <f>'tab1 lvl'!AU50/'tab1 percent'!AU63</f>
        <v>2.258116785775633E-3</v>
      </c>
      <c r="AV50" s="118">
        <f>'tab1 lvl'!AV50/'tab1 percent'!AV63</f>
        <v>2.1435233639300862E-3</v>
      </c>
      <c r="AW50" s="118">
        <f>'tab1 lvl'!AW50/'tab1 percent'!AW63</f>
        <v>2.1805015138770837E-3</v>
      </c>
      <c r="AX50" s="118">
        <f>'tab1 lvl'!AX50/'tab1 percent'!AX63</f>
        <v>2.0562673733768139E-3</v>
      </c>
      <c r="AY50" s="118">
        <f>'tab1 lvl'!AY50/'tab1 percent'!AY63</f>
        <v>2.0687082909095459E-3</v>
      </c>
    </row>
    <row r="51" spans="1:51" ht="16.5">
      <c r="A51" s="2"/>
      <c r="B51" s="2"/>
      <c r="C51" s="2"/>
      <c r="D51" s="2" t="s">
        <v>34</v>
      </c>
      <c r="E51" s="118">
        <f>'tab1 lvl'!E51/'tab1 percent'!E63</f>
        <v>2.5143163194258474E-2</v>
      </c>
      <c r="F51" s="118">
        <f>'tab1 lvl'!F51/'tab1 percent'!F63</f>
        <v>2.3617804651719698E-2</v>
      </c>
      <c r="G51" s="118">
        <f>'tab1 lvl'!G51/'tab1 percent'!G63</f>
        <v>2.3453147698071757E-2</v>
      </c>
      <c r="H51" s="118">
        <f>'tab1 lvl'!H51/'tab1 percent'!H63</f>
        <v>2.3875315280830631E-2</v>
      </c>
      <c r="I51" s="118">
        <f>'tab1 lvl'!I51/'tab1 percent'!I63</f>
        <v>2.2142913422555418E-2</v>
      </c>
      <c r="J51" s="118">
        <f>'tab1 lvl'!J51/'tab1 percent'!J63</f>
        <v>2.1136087933730369E-2</v>
      </c>
      <c r="K51" s="118">
        <f>'tab1 lvl'!K51/'tab1 percent'!K63</f>
        <v>2.0346330072431733E-2</v>
      </c>
      <c r="L51" s="118">
        <f>'tab1 lvl'!L51/'tab1 percent'!L63</f>
        <v>1.7898463299722601E-2</v>
      </c>
      <c r="M51" s="118">
        <f>'tab1 lvl'!M51/'tab1 percent'!M63</f>
        <v>1.6741469121587804E-2</v>
      </c>
      <c r="N51" s="118">
        <f>'tab1 lvl'!N51/'tab1 percent'!N63</f>
        <v>1.7224462422969208E-2</v>
      </c>
      <c r="O51" s="118">
        <f>'tab1 lvl'!O51/'tab1 percent'!O63</f>
        <v>1.5432784692835185E-2</v>
      </c>
      <c r="P51" s="118">
        <f>'tab1 lvl'!P51/'tab1 percent'!P63</f>
        <v>1.4335791625054196E-2</v>
      </c>
      <c r="Q51" s="118">
        <f>'tab1 lvl'!Q51/'tab1 percent'!Q63</f>
        <v>1.4080408903491395E-2</v>
      </c>
      <c r="R51" s="118">
        <f>'tab1 lvl'!R51/'tab1 percent'!R63</f>
        <v>1.2538050493236702E-2</v>
      </c>
      <c r="S51" s="118">
        <f>'tab1 lvl'!S51/'tab1 percent'!S63</f>
        <v>1.2428186503029423E-2</v>
      </c>
      <c r="T51" s="118">
        <f>'tab1 lvl'!T51/'tab1 percent'!T63</f>
        <v>1.12569477279002E-2</v>
      </c>
      <c r="U51" s="118">
        <f>'tab1 lvl'!U51/'tab1 percent'!U63</f>
        <v>1.2385297686069167E-2</v>
      </c>
      <c r="V51" s="118">
        <f>'tab1 lvl'!V51/'tab1 percent'!V63</f>
        <v>1.1983416987805232E-2</v>
      </c>
      <c r="W51" s="118">
        <f>'tab1 lvl'!W51/'tab1 percent'!W63</f>
        <v>8.7188069995250451E-3</v>
      </c>
      <c r="X51" s="118">
        <f>'tab1 lvl'!X51/'tab1 percent'!X63</f>
        <v>9.4027861766946171E-3</v>
      </c>
      <c r="Y51" s="118">
        <f>'tab1 lvl'!Y51/'tab1 percent'!Y63</f>
        <v>8.8459646739756301E-3</v>
      </c>
      <c r="Z51" s="118">
        <f>'tab1 lvl'!Z51/'tab1 percent'!Z63</f>
        <v>8.7722932692710989E-3</v>
      </c>
      <c r="AA51" s="118">
        <f>'tab1 lvl'!AA51/'tab1 percent'!AA63</f>
        <v>8.9620344542630896E-3</v>
      </c>
      <c r="AB51" s="118">
        <f>'tab1 lvl'!AB51/'tab1 percent'!AB63</f>
        <v>8.3609275339350409E-3</v>
      </c>
      <c r="AC51" s="118">
        <f>'tab1 lvl'!AC51/'tab1 percent'!AC63</f>
        <v>7.7034347548962101E-3</v>
      </c>
      <c r="AD51" s="118">
        <f>'tab1 lvl'!AD51/'tab1 percent'!AD63</f>
        <v>7.9540081919251028E-3</v>
      </c>
      <c r="AE51" s="118">
        <f>'tab1 lvl'!AE51/'tab1 percent'!AE63</f>
        <v>7.6335564500496023E-3</v>
      </c>
      <c r="AF51" s="118">
        <f>'tab1 lvl'!AF51/'tab1 percent'!AF63</f>
        <v>7.4391235388982921E-3</v>
      </c>
      <c r="AG51" s="118">
        <f>'tab1 lvl'!AG51/'tab1 percent'!AG63</f>
        <v>7.041376421412668E-3</v>
      </c>
      <c r="AH51" s="118">
        <f>'tab1 lvl'!AH51/'tab1 percent'!AH63</f>
        <v>6.9417948501275641E-3</v>
      </c>
      <c r="AI51" s="118">
        <f>'tab1 lvl'!AI51/'tab1 percent'!AI63</f>
        <v>6.983698682583723E-3</v>
      </c>
      <c r="AJ51" s="118">
        <f>'tab1 lvl'!AJ51/'tab1 percent'!AJ63</f>
        <v>6.7178371405265964E-3</v>
      </c>
      <c r="AK51" s="118">
        <f>'tab1 lvl'!AK51/'tab1 percent'!AK63</f>
        <v>6.0662508218182649E-3</v>
      </c>
      <c r="AL51" s="118">
        <f>'tab1 lvl'!AL51/'tab1 percent'!AL63</f>
        <v>5.9499801108236026E-3</v>
      </c>
      <c r="AM51" s="118">
        <f>'tab1 lvl'!AM51/'tab1 percent'!AM63</f>
        <v>5.5773699333495222E-3</v>
      </c>
      <c r="AN51" s="118">
        <f>'tab1 lvl'!AN51/'tab1 percent'!AN63</f>
        <v>4.8512989522197947E-3</v>
      </c>
      <c r="AO51" s="118">
        <f>'tab1 lvl'!AO51/'tab1 percent'!AO63</f>
        <v>4.1382188271569158E-3</v>
      </c>
      <c r="AP51" s="118">
        <f>'tab1 lvl'!AP51/'tab1 percent'!AP63</f>
        <v>0</v>
      </c>
      <c r="AQ51" s="118">
        <f>'tab1 lvl'!AQ51/'tab1 percent'!AQ63</f>
        <v>0</v>
      </c>
      <c r="AR51" s="118">
        <f>'tab1 lvl'!AR51/'tab1 percent'!AR63</f>
        <v>3.499046895909528E-3</v>
      </c>
      <c r="AS51" s="118">
        <f>'tab1 lvl'!AS51/'tab1 percent'!AS63</f>
        <v>3.2707074234859298E-3</v>
      </c>
      <c r="AT51" s="118">
        <f>'tab1 lvl'!AT51/'tab1 percent'!AT63</f>
        <v>3.0298781746663033E-3</v>
      </c>
      <c r="AU51" s="118">
        <f>'tab1 lvl'!AU51/'tab1 percent'!AU63</f>
        <v>2.7710817271940145E-3</v>
      </c>
      <c r="AV51" s="118">
        <f>'tab1 lvl'!AV51/'tab1 percent'!AV63</f>
        <v>2.4156163665839418E-3</v>
      </c>
      <c r="AW51" s="118">
        <f>'tab1 lvl'!AW51/'tab1 percent'!AW63</f>
        <v>2.1973046617438786E-3</v>
      </c>
      <c r="AX51" s="118">
        <f>'tab1 lvl'!AX51/'tab1 percent'!AX63</f>
        <v>2.1091780792333965E-3</v>
      </c>
      <c r="AY51" s="118">
        <f>'tab1 lvl'!AY51/'tab1 percent'!AY63</f>
        <v>2.1590902324754831E-3</v>
      </c>
    </row>
    <row r="52" spans="1:51" ht="16.5">
      <c r="A52" s="2"/>
      <c r="B52" s="2"/>
      <c r="C52" s="2"/>
      <c r="D52" s="2" t="s">
        <v>90</v>
      </c>
      <c r="E52" s="130">
        <f>'tab1 lvl'!E52/'tab1 percent'!E63</f>
        <v>0</v>
      </c>
      <c r="F52" s="130">
        <f>'tab1 lvl'!F52/'tab1 percent'!F63</f>
        <v>0</v>
      </c>
      <c r="G52" s="130">
        <f>'tab1 lvl'!G52/'tab1 percent'!G63</f>
        <v>0</v>
      </c>
      <c r="H52" s="130">
        <f>'tab1 lvl'!H52/'tab1 percent'!H63</f>
        <v>3.0975883884865251E-3</v>
      </c>
      <c r="I52" s="130">
        <f>'tab1 lvl'!I52/'tab1 percent'!I63</f>
        <v>2.6501060633839133E-3</v>
      </c>
      <c r="J52" s="130">
        <f>'tab1 lvl'!J52/'tab1 percent'!J63</f>
        <v>2.5789799856597499E-3</v>
      </c>
      <c r="K52" s="130">
        <f>'tab1 lvl'!K52/'tab1 percent'!K63</f>
        <v>2.5168831018233316E-3</v>
      </c>
      <c r="L52" s="130">
        <f>'tab1 lvl'!L52/'tab1 percent'!L63</f>
        <v>2.5212452115714852E-3</v>
      </c>
      <c r="M52" s="130">
        <f>'tab1 lvl'!M52/'tab1 percent'!M63</f>
        <v>2.4013110093147765E-3</v>
      </c>
      <c r="N52" s="130">
        <f>'tab1 lvl'!N52/'tab1 percent'!N63</f>
        <v>2.2720665491126279E-3</v>
      </c>
      <c r="O52" s="130">
        <f>'tab1 lvl'!O52/'tab1 percent'!O63</f>
        <v>2.1114436458370498E-3</v>
      </c>
      <c r="P52" s="130">
        <f>'tab1 lvl'!P52/'tab1 percent'!P63</f>
        <v>2.0018013041293655E-3</v>
      </c>
      <c r="Q52" s="130">
        <f>'tab1 lvl'!Q52/'tab1 percent'!Q63</f>
        <v>1.8575737339698412E-3</v>
      </c>
      <c r="R52" s="130">
        <f>'tab1 lvl'!R52/'tab1 percent'!R63</f>
        <v>1.7701833944709137E-3</v>
      </c>
      <c r="S52" s="130">
        <f>'tab1 lvl'!S52/'tab1 percent'!S63</f>
        <v>1.6857642399654973E-3</v>
      </c>
      <c r="T52" s="130">
        <f>'tab1 lvl'!T52/'tab1 percent'!T63</f>
        <v>1.5625179083848019E-3</v>
      </c>
      <c r="U52" s="130">
        <f>'tab1 lvl'!U52/'tab1 percent'!U63</f>
        <v>1.5313310764802476E-3</v>
      </c>
      <c r="V52" s="130">
        <f>'tab1 lvl'!V52/'tab1 percent'!V63</f>
        <v>0</v>
      </c>
      <c r="W52" s="130">
        <f>'tab1 lvl'!W52/'tab1 percent'!W63</f>
        <v>0</v>
      </c>
      <c r="X52" s="130">
        <f>'tab1 lvl'!X52/'tab1 percent'!X63</f>
        <v>0</v>
      </c>
      <c r="Y52" s="130">
        <f>'tab1 lvl'!Y52/'tab1 percent'!Y63</f>
        <v>0</v>
      </c>
      <c r="Z52" s="130">
        <f>'tab1 lvl'!Z52/'tab1 percent'!Z63</f>
        <v>0</v>
      </c>
      <c r="AA52" s="130">
        <f>'tab1 lvl'!AA52/'tab1 percent'!AA63</f>
        <v>0</v>
      </c>
      <c r="AB52" s="130">
        <f>'tab1 lvl'!AB52/'tab1 percent'!AB63</f>
        <v>0</v>
      </c>
      <c r="AC52" s="130">
        <f>'tab1 lvl'!AC52/'tab1 percent'!AC63</f>
        <v>0</v>
      </c>
      <c r="AD52" s="130">
        <f>'tab1 lvl'!AD52/'tab1 percent'!AD63</f>
        <v>0</v>
      </c>
      <c r="AE52" s="130">
        <f>'tab1 lvl'!AE52/'tab1 percent'!AE63</f>
        <v>0</v>
      </c>
      <c r="AF52" s="130">
        <f>'tab1 lvl'!AF52/'tab1 percent'!AF63</f>
        <v>0</v>
      </c>
      <c r="AG52" s="130">
        <f>'tab1 lvl'!AG52/'tab1 percent'!AG63</f>
        <v>0</v>
      </c>
      <c r="AH52" s="130">
        <f>'tab1 lvl'!AH52/'tab1 percent'!AH63</f>
        <v>0</v>
      </c>
      <c r="AI52" s="130">
        <f>'tab1 lvl'!AI52/'tab1 percent'!AI63</f>
        <v>0</v>
      </c>
      <c r="AJ52" s="130">
        <f>'tab1 lvl'!AJ52/'tab1 percent'!AJ63</f>
        <v>0</v>
      </c>
      <c r="AK52" s="130">
        <f>'tab1 lvl'!AK52/'tab1 percent'!AK63</f>
        <v>0</v>
      </c>
      <c r="AL52" s="130">
        <f>'tab1 lvl'!AL52/'tab1 percent'!AL63</f>
        <v>0</v>
      </c>
      <c r="AM52" s="130">
        <f>'tab1 lvl'!AM52/'tab1 percent'!AM63</f>
        <v>0</v>
      </c>
      <c r="AN52" s="130">
        <f>'tab1 lvl'!AN52/'tab1 percent'!AN63</f>
        <v>0</v>
      </c>
      <c r="AO52" s="130">
        <f>'tab1 lvl'!AO52/'tab1 percent'!AO63</f>
        <v>0</v>
      </c>
      <c r="AP52" s="130">
        <f>'tab1 lvl'!AP52/'tab1 percent'!AP63</f>
        <v>0</v>
      </c>
      <c r="AQ52" s="130">
        <f>'tab1 lvl'!AQ52/'tab1 percent'!AQ63</f>
        <v>0</v>
      </c>
      <c r="AR52" s="130">
        <f>'tab1 lvl'!AR52/'tab1 percent'!AR63</f>
        <v>0</v>
      </c>
      <c r="AS52" s="130">
        <f>'tab1 lvl'!AS52/'tab1 percent'!AS63</f>
        <v>0</v>
      </c>
      <c r="AT52" s="130">
        <f>'tab1 lvl'!AT52/'tab1 percent'!AT63</f>
        <v>0</v>
      </c>
      <c r="AU52" s="130">
        <f>'tab1 lvl'!AU52/'tab1 percent'!AU63</f>
        <v>0</v>
      </c>
      <c r="AV52" s="130">
        <f>'tab1 lvl'!AV52/'tab1 percent'!AV63</f>
        <v>0</v>
      </c>
      <c r="AW52" s="130">
        <f>'tab1 lvl'!AW52/'tab1 percent'!AW63</f>
        <v>0</v>
      </c>
      <c r="AX52" s="130">
        <f>'tab1 lvl'!AX52/'tab1 percent'!AX63</f>
        <v>0</v>
      </c>
      <c r="AY52" s="130">
        <f>'tab1 lvl'!AY52/'tab1 percent'!AY63</f>
        <v>0</v>
      </c>
    </row>
    <row r="53" spans="1:51" ht="16.5">
      <c r="A53" s="12"/>
      <c r="B53" s="12"/>
      <c r="C53" s="12" t="s">
        <v>11</v>
      </c>
      <c r="D53" s="12"/>
      <c r="E53" s="128">
        <f>'tab1 lvl'!E53/'tab1 percent'!E63</f>
        <v>3.5567457554496279E-2</v>
      </c>
      <c r="F53" s="128">
        <f>'tab1 lvl'!F53/'tab1 percent'!F63</f>
        <v>3.8736059974123847E-2</v>
      </c>
      <c r="G53" s="128">
        <f>'tab1 lvl'!G53/'tab1 percent'!G63</f>
        <v>4.923065868195789E-2</v>
      </c>
      <c r="H53" s="128">
        <f>'tab1 lvl'!H53/'tab1 percent'!H63</f>
        <v>8.9289288898306476E-3</v>
      </c>
      <c r="I53" s="128">
        <f>'tab1 lvl'!I53/'tab1 percent'!I63</f>
        <v>8.4915571867553077E-3</v>
      </c>
      <c r="J53" s="128">
        <f>'tab1 lvl'!J53/'tab1 percent'!J63</f>
        <v>4.5412029694937356E-3</v>
      </c>
      <c r="K53" s="128">
        <f>'tab1 lvl'!K53/'tab1 percent'!K63</f>
        <v>4.4427308082001359E-3</v>
      </c>
      <c r="L53" s="128">
        <f>'tab1 lvl'!L53/'tab1 percent'!L63</f>
        <v>4.0896481881026814E-3</v>
      </c>
      <c r="M53" s="128">
        <f>'tab1 lvl'!M53/'tab1 percent'!M63</f>
        <v>1.3834506348424961E-3</v>
      </c>
      <c r="N53" s="128">
        <f>'tab1 lvl'!N53/'tab1 percent'!N63</f>
        <v>1.4112511369109471E-3</v>
      </c>
      <c r="O53" s="128">
        <f>'tab1 lvl'!O53/'tab1 percent'!O63</f>
        <v>1.2977665650164684E-3</v>
      </c>
      <c r="P53" s="128">
        <f>'tab1 lvl'!P53/'tab1 percent'!P63</f>
        <v>7.6062519244853857E-4</v>
      </c>
      <c r="Q53" s="128">
        <f>'tab1 lvl'!Q53/'tab1 percent'!Q63</f>
        <v>7.305416029393996E-4</v>
      </c>
      <c r="R53" s="128">
        <f>'tab1 lvl'!R53/'tab1 percent'!R63</f>
        <v>6.8359193611201526E-4</v>
      </c>
      <c r="S53" s="128">
        <f>'tab1 lvl'!S53/'tab1 percent'!S63</f>
        <v>6.5169760515297441E-4</v>
      </c>
      <c r="T53" s="128">
        <f>'tab1 lvl'!T53/'tab1 percent'!T63</f>
        <v>5.8322395466173661E-4</v>
      </c>
      <c r="U53" s="128">
        <f>'tab1 lvl'!U53/'tab1 percent'!U63</f>
        <v>5.7727058222003754E-4</v>
      </c>
      <c r="V53" s="128">
        <f>'tab1 lvl'!V53/'tab1 percent'!V63</f>
        <v>5.9795839917994279E-4</v>
      </c>
      <c r="W53" s="128">
        <f>'tab1 lvl'!W53/'tab1 percent'!W63</f>
        <v>6.0533412448064326E-4</v>
      </c>
      <c r="X53" s="128">
        <f>'tab1 lvl'!X53/'tab1 percent'!X63</f>
        <v>5.9837560451154483E-4</v>
      </c>
      <c r="Y53" s="128">
        <f>'tab1 lvl'!Y53/'tab1 percent'!Y63</f>
        <v>6.0137461441651051E-4</v>
      </c>
      <c r="Z53" s="128">
        <f>'tab1 lvl'!Z53/'tab1 percent'!Z63</f>
        <v>5.9607162111908454E-4</v>
      </c>
      <c r="AA53" s="128">
        <f>'tab1 lvl'!AA53/'tab1 percent'!AA63</f>
        <v>5.8510823552506178E-4</v>
      </c>
      <c r="AB53" s="128">
        <f>'tab1 lvl'!AB53/'tab1 percent'!AB63</f>
        <v>5.5693002230336539E-4</v>
      </c>
      <c r="AC53" s="128">
        <f>'tab1 lvl'!AC53/'tab1 percent'!AC63</f>
        <v>5.3095439960426356E-4</v>
      </c>
      <c r="AD53" s="128">
        <f>'tab1 lvl'!AD53/'tab1 percent'!AD63</f>
        <v>5.2545348156816853E-4</v>
      </c>
      <c r="AE53" s="128">
        <f>'tab1 lvl'!AE53/'tab1 percent'!AE63</f>
        <v>4.857634810768897E-4</v>
      </c>
      <c r="AF53" s="128">
        <f>'tab1 lvl'!AF53/'tab1 percent'!AF63</f>
        <v>4.7315038185235045E-4</v>
      </c>
      <c r="AG53" s="128">
        <f>'tab1 lvl'!AG53/'tab1 percent'!AG63</f>
        <v>4.5794563413015515E-4</v>
      </c>
      <c r="AH53" s="128">
        <f>'tab1 lvl'!AH53/'tab1 percent'!AH63</f>
        <v>4.5025320874763025E-4</v>
      </c>
      <c r="AI53" s="128">
        <f>'tab1 lvl'!AI53/'tab1 percent'!AI63</f>
        <v>4.4418617007982967E-4</v>
      </c>
      <c r="AJ53" s="128">
        <f>'tab1 lvl'!AJ53/'tab1 percent'!AJ63</f>
        <v>4.3879829832783852E-4</v>
      </c>
      <c r="AK53" s="128">
        <f>'tab1 lvl'!AK53/'tab1 percent'!AK63</f>
        <v>4.2197717862415407E-4</v>
      </c>
      <c r="AL53" s="128">
        <f>'tab1 lvl'!AL53/'tab1 percent'!AL63</f>
        <v>4.0691428757446525E-4</v>
      </c>
      <c r="AM53" s="128">
        <f>'tab1 lvl'!AM53/'tab1 percent'!AM63</f>
        <v>3.9403695911390988E-4</v>
      </c>
      <c r="AN53" s="128">
        <f>'tab1 lvl'!AN53/'tab1 percent'!AN63</f>
        <v>3.7685507621420481E-4</v>
      </c>
      <c r="AO53" s="128">
        <f>'tab1 lvl'!AO53/'tab1 percent'!AO63</f>
        <v>3.6815078417508032E-4</v>
      </c>
      <c r="AP53" s="128">
        <f>'tab1 lvl'!AP53/'tab1 percent'!AP63</f>
        <v>3.812481811284692E-4</v>
      </c>
      <c r="AQ53" s="128">
        <f>'tab1 lvl'!AQ53/'tab1 percent'!AQ63</f>
        <v>3.7306356692294053E-4</v>
      </c>
      <c r="AR53" s="128">
        <f>'tab1 lvl'!AR53/'tab1 percent'!AR63</f>
        <v>3.734095654881537E-4</v>
      </c>
      <c r="AS53" s="128">
        <f>'tab1 lvl'!AS53/'tab1 percent'!AS63</f>
        <v>3.6995497240695935E-4</v>
      </c>
      <c r="AT53" s="128">
        <f>'tab1 lvl'!AT53/'tab1 percent'!AT63</f>
        <v>3.5195512729471637E-4</v>
      </c>
      <c r="AU53" s="128">
        <f>'tab1 lvl'!AU53/'tab1 percent'!AU63</f>
        <v>3.5376892511612505E-4</v>
      </c>
      <c r="AV53" s="128">
        <f>'tab1 lvl'!AV53/'tab1 percent'!AV63</f>
        <v>3.4328012544120192E-4</v>
      </c>
      <c r="AW53" s="128">
        <f>'tab1 lvl'!AW53/'tab1 percent'!AW63</f>
        <v>3.3997066614212598E-4</v>
      </c>
      <c r="AX53" s="128">
        <f>'tab1 lvl'!AX53/'tab1 percent'!AX63</f>
        <v>3.3782637267030922E-4</v>
      </c>
      <c r="AY53" s="128">
        <f>'tab1 lvl'!AY53/'tab1 percent'!AY63</f>
        <v>3.4732925179477617E-4</v>
      </c>
    </row>
    <row r="54" spans="1:51" ht="16.5">
      <c r="A54" s="2"/>
      <c r="B54" s="2"/>
      <c r="C54" s="2"/>
      <c r="D54" s="2" t="s">
        <v>35</v>
      </c>
      <c r="E54" s="118">
        <f>'tab1 lvl'!E54/'tab1 percent'!E63</f>
        <v>3.5567457554496279E-2</v>
      </c>
      <c r="F54" s="118">
        <f>'tab1 lvl'!F54/'tab1 percent'!F63</f>
        <v>3.8736059974123847E-2</v>
      </c>
      <c r="G54" s="118">
        <f>'tab1 lvl'!G54/'tab1 percent'!G63</f>
        <v>4.923065868195789E-2</v>
      </c>
      <c r="H54" s="118">
        <f>'tab1 lvl'!H54/'tab1 percent'!H63</f>
        <v>8.9289288898306476E-3</v>
      </c>
      <c r="I54" s="118">
        <f>'tab1 lvl'!I54/'tab1 percent'!I63</f>
        <v>8.4915571867553077E-3</v>
      </c>
      <c r="J54" s="118">
        <f>'tab1 lvl'!J54/'tab1 percent'!J63</f>
        <v>4.5412029694937356E-3</v>
      </c>
      <c r="K54" s="118">
        <f>'tab1 lvl'!K54/'tab1 percent'!K63</f>
        <v>4.4427308082001359E-3</v>
      </c>
      <c r="L54" s="118">
        <f>'tab1 lvl'!L54/'tab1 percent'!L63</f>
        <v>4.0896481881026814E-3</v>
      </c>
      <c r="M54" s="118">
        <f>'tab1 lvl'!M54/'tab1 percent'!M63</f>
        <v>1.3834506348424961E-3</v>
      </c>
      <c r="N54" s="118">
        <f>'tab1 lvl'!N54/'tab1 percent'!N63</f>
        <v>1.4112511369109471E-3</v>
      </c>
      <c r="O54" s="118">
        <f>'tab1 lvl'!O54/'tab1 percent'!O63</f>
        <v>1.2977665650164684E-3</v>
      </c>
      <c r="P54" s="118">
        <f>'tab1 lvl'!P54/'tab1 percent'!P63</f>
        <v>7.6062519244853857E-4</v>
      </c>
      <c r="Q54" s="118">
        <f>'tab1 lvl'!Q54/'tab1 percent'!Q63</f>
        <v>7.305416029393996E-4</v>
      </c>
      <c r="R54" s="118">
        <f>'tab1 lvl'!R54/'tab1 percent'!R63</f>
        <v>6.8359193611201526E-4</v>
      </c>
      <c r="S54" s="118">
        <f>'tab1 lvl'!S54/'tab1 percent'!S63</f>
        <v>6.5169760515297441E-4</v>
      </c>
      <c r="T54" s="118">
        <f>'tab1 lvl'!T54/'tab1 percent'!T63</f>
        <v>5.8322395466173661E-4</v>
      </c>
      <c r="U54" s="118">
        <f>'tab1 lvl'!U54/'tab1 percent'!U63</f>
        <v>5.7727058222003754E-4</v>
      </c>
      <c r="V54" s="118">
        <f>'tab1 lvl'!V54/'tab1 percent'!V63</f>
        <v>5.9795839917994279E-4</v>
      </c>
      <c r="W54" s="118">
        <f>'tab1 lvl'!W54/'tab1 percent'!W63</f>
        <v>6.0533412448064326E-4</v>
      </c>
      <c r="X54" s="118">
        <f>'tab1 lvl'!X54/'tab1 percent'!X63</f>
        <v>5.9837560451154483E-4</v>
      </c>
      <c r="Y54" s="118">
        <f>'tab1 lvl'!Y54/'tab1 percent'!Y63</f>
        <v>6.0137461441651051E-4</v>
      </c>
      <c r="Z54" s="118">
        <f>'tab1 lvl'!Z54/'tab1 percent'!Z63</f>
        <v>5.9607162111908454E-4</v>
      </c>
      <c r="AA54" s="118">
        <f>'tab1 lvl'!AA54/'tab1 percent'!AA63</f>
        <v>5.8510823552506178E-4</v>
      </c>
      <c r="AB54" s="118">
        <f>'tab1 lvl'!AB54/'tab1 percent'!AB63</f>
        <v>5.5693002230336539E-4</v>
      </c>
      <c r="AC54" s="118">
        <f>'tab1 lvl'!AC54/'tab1 percent'!AC63</f>
        <v>5.3095439960426356E-4</v>
      </c>
      <c r="AD54" s="118">
        <f>'tab1 lvl'!AD54/'tab1 percent'!AD63</f>
        <v>5.2545348156816853E-4</v>
      </c>
      <c r="AE54" s="118">
        <f>'tab1 lvl'!AE54/'tab1 percent'!AE63</f>
        <v>4.857634810768897E-4</v>
      </c>
      <c r="AF54" s="118">
        <f>'tab1 lvl'!AF54/'tab1 percent'!AF63</f>
        <v>4.7315038185235045E-4</v>
      </c>
      <c r="AG54" s="118">
        <f>'tab1 lvl'!AG54/'tab1 percent'!AG63</f>
        <v>4.5794563413015515E-4</v>
      </c>
      <c r="AH54" s="118">
        <f>'tab1 lvl'!AH54/'tab1 percent'!AH63</f>
        <v>4.5025320874763025E-4</v>
      </c>
      <c r="AI54" s="118">
        <f>'tab1 lvl'!AI54/'tab1 percent'!AI63</f>
        <v>4.4418617007982967E-4</v>
      </c>
      <c r="AJ54" s="118">
        <f>'tab1 lvl'!AJ54/'tab1 percent'!AJ63</f>
        <v>4.3879829832783852E-4</v>
      </c>
      <c r="AK54" s="118">
        <f>'tab1 lvl'!AK54/'tab1 percent'!AK63</f>
        <v>4.2197717862415407E-4</v>
      </c>
      <c r="AL54" s="118">
        <f>'tab1 lvl'!AL54/'tab1 percent'!AL63</f>
        <v>4.0691428757446525E-4</v>
      </c>
      <c r="AM54" s="118">
        <f>'tab1 lvl'!AM54/'tab1 percent'!AM63</f>
        <v>3.9403695911390988E-4</v>
      </c>
      <c r="AN54" s="118">
        <f>'tab1 lvl'!AN54/'tab1 percent'!AN63</f>
        <v>3.7685507621420481E-4</v>
      </c>
      <c r="AO54" s="118">
        <f>'tab1 lvl'!AO54/'tab1 percent'!AO63</f>
        <v>3.6815078417508032E-4</v>
      </c>
      <c r="AP54" s="118">
        <f>'tab1 lvl'!AP54/'tab1 percent'!AP63</f>
        <v>3.812481811284692E-4</v>
      </c>
      <c r="AQ54" s="118">
        <f>'tab1 lvl'!AQ54/'tab1 percent'!AQ63</f>
        <v>3.7306356692294053E-4</v>
      </c>
      <c r="AR54" s="118">
        <f>'tab1 lvl'!AR54/'tab1 percent'!AR63</f>
        <v>3.734095654881537E-4</v>
      </c>
      <c r="AS54" s="118">
        <f>'tab1 lvl'!AS54/'tab1 percent'!AS63</f>
        <v>3.6995497240695935E-4</v>
      </c>
      <c r="AT54" s="118">
        <f>'tab1 lvl'!AT54/'tab1 percent'!AT63</f>
        <v>3.5195512729471637E-4</v>
      </c>
      <c r="AU54" s="118">
        <f>'tab1 lvl'!AU54/'tab1 percent'!AU63</f>
        <v>3.5376892511612505E-4</v>
      </c>
      <c r="AV54" s="118">
        <f>'tab1 lvl'!AV54/'tab1 percent'!AV63</f>
        <v>3.4328012544120192E-4</v>
      </c>
      <c r="AW54" s="118">
        <f>'tab1 lvl'!AW54/'tab1 percent'!AW63</f>
        <v>3.3997066614212598E-4</v>
      </c>
      <c r="AX54" s="118">
        <f>'tab1 lvl'!AX54/'tab1 percent'!AX63</f>
        <v>3.3782637267030922E-4</v>
      </c>
      <c r="AY54" s="118">
        <f>'tab1 lvl'!AY54/'tab1 percent'!AY63</f>
        <v>3.4732925179477617E-4</v>
      </c>
    </row>
    <row r="55" spans="1:51" ht="16.5">
      <c r="A55" s="6"/>
      <c r="B55" s="6"/>
      <c r="C55" s="6"/>
      <c r="D55" s="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</row>
    <row r="56" spans="1:51" ht="16.5">
      <c r="A56" s="63" t="s">
        <v>36</v>
      </c>
      <c r="B56" s="64" t="s">
        <v>37</v>
      </c>
      <c r="C56" s="64"/>
      <c r="D56" s="64"/>
      <c r="E56" s="134">
        <f>'tab1 lvl'!E56/'tab1 percent'!E63</f>
        <v>0.96168864651970221</v>
      </c>
      <c r="F56" s="134">
        <f>'tab1 lvl'!F56/'tab1 percent'!F63</f>
        <v>0.93344487740029525</v>
      </c>
      <c r="G56" s="134">
        <f>'tab1 lvl'!G56/'tab1 percent'!G63</f>
        <v>0.92670214755413027</v>
      </c>
      <c r="H56" s="134">
        <f>'tab1 lvl'!H56/'tab1 percent'!H63</f>
        <v>0.90398141798499543</v>
      </c>
      <c r="I56" s="134">
        <f>'tab1 lvl'!I56/'tab1 percent'!I63</f>
        <v>0.88018921406259865</v>
      </c>
      <c r="J56" s="134">
        <f>'tab1 lvl'!J56/'tab1 percent'!J63</f>
        <v>0.87585383656273452</v>
      </c>
      <c r="K56" s="134">
        <f>'tab1 lvl'!K56/'tab1 percent'!K63</f>
        <v>0.87163979768159772</v>
      </c>
      <c r="L56" s="134">
        <f>'tab1 lvl'!L56/'tab1 percent'!L63</f>
        <v>0.82346721600980144</v>
      </c>
      <c r="M56" s="134">
        <f>'tab1 lvl'!M56/'tab1 percent'!M63</f>
        <v>0.78574268018776317</v>
      </c>
      <c r="N56" s="134">
        <f>'tab1 lvl'!N56/'tab1 percent'!N63</f>
        <v>0.77417862540518068</v>
      </c>
      <c r="O56" s="134">
        <f>'tab1 lvl'!O56/'tab1 percent'!O63</f>
        <v>0.73315369751831194</v>
      </c>
      <c r="P56" s="134">
        <f>'tab1 lvl'!P56/'tab1 percent'!P63</f>
        <v>0.71039334695074607</v>
      </c>
      <c r="Q56" s="134">
        <f>'tab1 lvl'!Q56/'tab1 percent'!Q63</f>
        <v>0.69076640627720998</v>
      </c>
      <c r="R56" s="134">
        <f>'tab1 lvl'!R56/'tab1 percent'!R63</f>
        <v>0.63839444193766193</v>
      </c>
      <c r="S56" s="134">
        <f>'tab1 lvl'!S56/'tab1 percent'!S63</f>
        <v>0.62456078534740267</v>
      </c>
      <c r="T56" s="134">
        <f>'tab1 lvl'!T56/'tab1 percent'!T63</f>
        <v>0.58413729540825177</v>
      </c>
      <c r="U56" s="134">
        <f>'tab1 lvl'!U56/'tab1 percent'!U63</f>
        <v>0.58125512660822254</v>
      </c>
      <c r="V56" s="134">
        <f>'tab1 lvl'!V56/'tab1 percent'!V63</f>
        <v>0.58405017990296682</v>
      </c>
      <c r="W56" s="134">
        <f>'tab1 lvl'!W56/'tab1 percent'!W63</f>
        <v>0.58773659230169717</v>
      </c>
      <c r="X56" s="134">
        <f>'tab1 lvl'!X56/'tab1 percent'!X63</f>
        <v>0.58177241611138997</v>
      </c>
      <c r="Y56" s="134">
        <f>'tab1 lvl'!Y56/'tab1 percent'!Y63</f>
        <v>0.57102226447802218</v>
      </c>
      <c r="Z56" s="134">
        <f>'tab1 lvl'!Z56/'tab1 percent'!Z63</f>
        <v>0.57295552150719187</v>
      </c>
      <c r="AA56" s="134">
        <f>'tab1 lvl'!AA56/'tab1 percent'!AA63</f>
        <v>0.5775814264692074</v>
      </c>
      <c r="AB56" s="134">
        <f>'tab1 lvl'!AB56/'tab1 percent'!AB63</f>
        <v>0.58037396024736787</v>
      </c>
      <c r="AC56" s="134">
        <f>'tab1 lvl'!AC56/'tab1 percent'!AC63</f>
        <v>0.55593686855720581</v>
      </c>
      <c r="AD56" s="134">
        <f>'tab1 lvl'!AD56/'tab1 percent'!AD63</f>
        <v>0.55327112265589817</v>
      </c>
      <c r="AE56" s="134">
        <f>'tab1 lvl'!AE56/'tab1 percent'!AE63</f>
        <v>0.5444359747922084</v>
      </c>
      <c r="AF56" s="134">
        <f>'tab1 lvl'!AF56/'tab1 percent'!AF63</f>
        <v>0.53528315434472007</v>
      </c>
      <c r="AG56" s="134">
        <f>'tab1 lvl'!AG56/'tab1 percent'!AG63</f>
        <v>0.54513780818814528</v>
      </c>
      <c r="AH56" s="134">
        <f>'tab1 lvl'!AH56/'tab1 percent'!AH63</f>
        <v>0.54353660325573072</v>
      </c>
      <c r="AI56" s="134">
        <f>'tab1 lvl'!AI56/'tab1 percent'!AI63</f>
        <v>0.57342285157183626</v>
      </c>
      <c r="AJ56" s="134">
        <f>'tab1 lvl'!AJ56/'tab1 percent'!AJ63</f>
        <v>0.55284204242441104</v>
      </c>
      <c r="AK56" s="134">
        <f>'tab1 lvl'!AK56/'tab1 percent'!AK63</f>
        <v>0.55726815342179781</v>
      </c>
      <c r="AL56" s="134">
        <f>'tab1 lvl'!AL56/'tab1 percent'!AL63</f>
        <v>0.54026780500789173</v>
      </c>
      <c r="AM56" s="134">
        <f>'tab1 lvl'!AM56/'tab1 percent'!AM63</f>
        <v>0.52731694348454361</v>
      </c>
      <c r="AN56" s="134">
        <f>'tab1 lvl'!AN56/'tab1 percent'!AN63</f>
        <v>0.5296174453150182</v>
      </c>
      <c r="AO56" s="134">
        <f>'tab1 lvl'!AO56/'tab1 percent'!AO63</f>
        <v>0.50488149497843349</v>
      </c>
      <c r="AP56" s="134">
        <f>'tab1 lvl'!AP56/'tab1 percent'!AP63</f>
        <v>0.51739957634404521</v>
      </c>
      <c r="AQ56" s="134">
        <f>'tab1 lvl'!AQ56/'tab1 percent'!AQ63</f>
        <v>0.52121999534689789</v>
      </c>
      <c r="AR56" s="134">
        <f>'tab1 lvl'!AR56/'tab1 percent'!AR63</f>
        <v>0.51239848544875521</v>
      </c>
      <c r="AS56" s="134">
        <f>'tab1 lvl'!AS56/'tab1 percent'!AS63</f>
        <v>0.49884261291921544</v>
      </c>
      <c r="AT56" s="134">
        <f>'tab1 lvl'!AT56/'tab1 percent'!AT63</f>
        <v>0.49694321170081024</v>
      </c>
      <c r="AU56" s="134">
        <f>'tab1 lvl'!AU56/'tab1 percent'!AU63</f>
        <v>0.49342679814056778</v>
      </c>
      <c r="AV56" s="134">
        <f>'tab1 lvl'!AV56/'tab1 percent'!AV63</f>
        <v>0.47835073500453856</v>
      </c>
      <c r="AW56" s="134">
        <f>'tab1 lvl'!AW56/'tab1 percent'!AW63</f>
        <v>0.4759781436745657</v>
      </c>
      <c r="AX56" s="134">
        <f>'tab1 lvl'!AX56/'tab1 percent'!AX63</f>
        <v>0.47065361071877576</v>
      </c>
      <c r="AY56" s="134">
        <f>'tab1 lvl'!AY56/'tab1 percent'!AY63</f>
        <v>0.47628182711921524</v>
      </c>
    </row>
    <row r="57" spans="1:51" ht="16.5">
      <c r="A57" s="5"/>
      <c r="B57" s="5"/>
      <c r="C57" s="5" t="s">
        <v>10</v>
      </c>
      <c r="D57" s="5"/>
      <c r="E57" s="138">
        <f>'tab1 lvl'!E57/'tab1 percent'!E63</f>
        <v>0.30533274485401746</v>
      </c>
      <c r="F57" s="138">
        <f>'tab1 lvl'!F57/'tab1 percent'!F63</f>
        <v>0.29710366980241987</v>
      </c>
      <c r="G57" s="138">
        <f>'tab1 lvl'!G57/'tab1 percent'!G63</f>
        <v>0.30695709158964846</v>
      </c>
      <c r="H57" s="138">
        <f>'tab1 lvl'!H57/'tab1 percent'!H63</f>
        <v>0.3073368102514728</v>
      </c>
      <c r="I57" s="138">
        <f>'tab1 lvl'!I57/'tab1 percent'!I63</f>
        <v>0.30579541509329933</v>
      </c>
      <c r="J57" s="138">
        <f>'tab1 lvl'!J57/'tab1 percent'!J63</f>
        <v>0.30384498827196088</v>
      </c>
      <c r="K57" s="138">
        <f>'tab1 lvl'!K57/'tab1 percent'!K63</f>
        <v>0.30531878592031936</v>
      </c>
      <c r="L57" s="138">
        <f>'tab1 lvl'!L57/'tab1 percent'!L63</f>
        <v>0.32163150552590197</v>
      </c>
      <c r="M57" s="138">
        <f>'tab1 lvl'!M57/'tab1 percent'!M63</f>
        <v>0.28564948307013616</v>
      </c>
      <c r="N57" s="138">
        <f>'tab1 lvl'!N57/'tab1 percent'!N63</f>
        <v>0.27729422392290493</v>
      </c>
      <c r="O57" s="138">
        <f>'tab1 lvl'!O57/'tab1 percent'!O63</f>
        <v>0.27155697251697652</v>
      </c>
      <c r="P57" s="138">
        <f>'tab1 lvl'!P57/'tab1 percent'!P63</f>
        <v>0.27518817786969613</v>
      </c>
      <c r="Q57" s="138">
        <f>'tab1 lvl'!Q57/'tab1 percent'!Q63</f>
        <v>0.2604162313676035</v>
      </c>
      <c r="R57" s="138">
        <f>'tab1 lvl'!R57/'tab1 percent'!R63</f>
        <v>0.24168978842421249</v>
      </c>
      <c r="S57" s="138">
        <f>'tab1 lvl'!S57/'tab1 percent'!S63</f>
        <v>0.24572178125292371</v>
      </c>
      <c r="T57" s="138">
        <f>'tab1 lvl'!T57/'tab1 percent'!T63</f>
        <v>0.24755625616913846</v>
      </c>
      <c r="U57" s="138">
        <f>'tab1 lvl'!U57/'tab1 percent'!U63</f>
        <v>0.23854948213790167</v>
      </c>
      <c r="V57" s="138">
        <f>'tab1 lvl'!V57/'tab1 percent'!V63</f>
        <v>0.24669099270639</v>
      </c>
      <c r="W57" s="138">
        <f>'tab1 lvl'!W57/'tab1 percent'!W63</f>
        <v>0.27354760443969878</v>
      </c>
      <c r="X57" s="138">
        <f>'tab1 lvl'!X57/'tab1 percent'!X63</f>
        <v>0.24133355341244281</v>
      </c>
      <c r="Y57" s="138">
        <f>'tab1 lvl'!Y57/'tab1 percent'!Y63</f>
        <v>0.23075482526319863</v>
      </c>
      <c r="Z57" s="138">
        <f>'tab1 lvl'!Z57/'tab1 percent'!Z63</f>
        <v>0.23081252004490108</v>
      </c>
      <c r="AA57" s="138">
        <f>'tab1 lvl'!AA57/'tab1 percent'!AA63</f>
        <v>0.2349014248012069</v>
      </c>
      <c r="AB57" s="138">
        <f>'tab1 lvl'!AB57/'tab1 percent'!AB63</f>
        <v>0.2390828458610755</v>
      </c>
      <c r="AC57" s="138">
        <f>'tab1 lvl'!AC57/'tab1 percent'!AC63</f>
        <v>0.22896949415502901</v>
      </c>
      <c r="AD57" s="138">
        <f>'tab1 lvl'!AD57/'tab1 percent'!AD63</f>
        <v>0.23055754586002453</v>
      </c>
      <c r="AE57" s="138">
        <f>'tab1 lvl'!AE57/'tab1 percent'!AE63</f>
        <v>0.23960657561131396</v>
      </c>
      <c r="AF57" s="138">
        <f>'tab1 lvl'!AF57/'tab1 percent'!AF63</f>
        <v>0.24549001311950608</v>
      </c>
      <c r="AG57" s="138">
        <f>'tab1 lvl'!AG57/'tab1 percent'!AG63</f>
        <v>0.25287933074368307</v>
      </c>
      <c r="AH57" s="138">
        <f>'tab1 lvl'!AH57/'tab1 percent'!AH63</f>
        <v>0.25585054593191531</v>
      </c>
      <c r="AI57" s="138">
        <f>'tab1 lvl'!AI57/'tab1 percent'!AI63</f>
        <v>0.28829248581678169</v>
      </c>
      <c r="AJ57" s="138">
        <f>'tab1 lvl'!AJ57/'tab1 percent'!AJ63</f>
        <v>0.28257801132670046</v>
      </c>
      <c r="AK57" s="138">
        <f>'tab1 lvl'!AK57/'tab1 percent'!AK63</f>
        <v>0.3205106655278373</v>
      </c>
      <c r="AL57" s="138">
        <f>'tab1 lvl'!AL57/'tab1 percent'!AL63</f>
        <v>0.31421666600517706</v>
      </c>
      <c r="AM57" s="138">
        <f>'tab1 lvl'!AM57/'tab1 percent'!AM63</f>
        <v>0.30854534885190926</v>
      </c>
      <c r="AN57" s="138">
        <f>'tab1 lvl'!AN57/'tab1 percent'!AN63</f>
        <v>0.32984350817652802</v>
      </c>
      <c r="AO57" s="138">
        <f>'tab1 lvl'!AO57/'tab1 percent'!AO63</f>
        <v>0.3184748163337292</v>
      </c>
      <c r="AP57" s="138">
        <f>'tab1 lvl'!AP57/'tab1 percent'!AP63</f>
        <v>0.3278201956617452</v>
      </c>
      <c r="AQ57" s="138">
        <f>'tab1 lvl'!AQ57/'tab1 percent'!AQ63</f>
        <v>0.33763138408934951</v>
      </c>
      <c r="AR57" s="138">
        <f>'tab1 lvl'!AR57/'tab1 percent'!AR63</f>
        <v>0.33210492661647528</v>
      </c>
      <c r="AS57" s="138">
        <f>'tab1 lvl'!AS57/'tab1 percent'!AS63</f>
        <v>0.32072961237904724</v>
      </c>
      <c r="AT57" s="138">
        <f>'tab1 lvl'!AT57/'tab1 percent'!AT63</f>
        <v>0.32760504220038039</v>
      </c>
      <c r="AU57" s="138">
        <f>'tab1 lvl'!AU57/'tab1 percent'!AU63</f>
        <v>0.32403298849632384</v>
      </c>
      <c r="AV57" s="138">
        <f>'tab1 lvl'!AV57/'tab1 percent'!AV63</f>
        <v>0.31791210051909174</v>
      </c>
      <c r="AW57" s="138">
        <f>'tab1 lvl'!AW57/'tab1 percent'!AW63</f>
        <v>0.31617545725052298</v>
      </c>
      <c r="AX57" s="138">
        <f>'tab1 lvl'!AX57/'tab1 percent'!AX63</f>
        <v>0.30972998801684348</v>
      </c>
      <c r="AY57" s="138">
        <f>'tab1 lvl'!AY57/'tab1 percent'!AY63</f>
        <v>0.31106330901110169</v>
      </c>
    </row>
    <row r="58" spans="1:51" ht="16.5">
      <c r="A58" s="9"/>
      <c r="B58" s="9"/>
      <c r="C58" s="9" t="s">
        <v>11</v>
      </c>
      <c r="D58" s="9"/>
      <c r="E58" s="136">
        <f>'tab1 lvl'!E58/'tab1 percent'!E63</f>
        <v>0.6563559016656848</v>
      </c>
      <c r="F58" s="136">
        <f>'tab1 lvl'!F58/'tab1 percent'!F63</f>
        <v>0.63634120759787527</v>
      </c>
      <c r="G58" s="136">
        <f>'tab1 lvl'!G58/'tab1 percent'!G63</f>
        <v>0.61974505596448182</v>
      </c>
      <c r="H58" s="136">
        <f>'tab1 lvl'!H58/'tab1 percent'!H63</f>
        <v>0.59664460773352257</v>
      </c>
      <c r="I58" s="136">
        <f>'tab1 lvl'!I58/'tab1 percent'!I63</f>
        <v>0.57439379896929932</v>
      </c>
      <c r="J58" s="136">
        <f>'tab1 lvl'!J58/'tab1 percent'!J63</f>
        <v>0.5720088482907737</v>
      </c>
      <c r="K58" s="136">
        <f>'tab1 lvl'!K58/'tab1 percent'!K63</f>
        <v>0.56632101176127836</v>
      </c>
      <c r="L58" s="136">
        <f>'tab1 lvl'!L58/'tab1 percent'!L63</f>
        <v>0.50183571048389941</v>
      </c>
      <c r="M58" s="136">
        <f>'tab1 lvl'!M58/'tab1 percent'!M63</f>
        <v>0.50009319711762701</v>
      </c>
      <c r="N58" s="136">
        <f>'tab1 lvl'!N58/'tab1 percent'!N63</f>
        <v>0.49688440148227575</v>
      </c>
      <c r="O58" s="136">
        <f>'tab1 lvl'!O58/'tab1 percent'!O63</f>
        <v>0.46159672500133542</v>
      </c>
      <c r="P58" s="136">
        <f>'tab1 lvl'!P58/'tab1 percent'!P63</f>
        <v>0.43520516908104995</v>
      </c>
      <c r="Q58" s="136">
        <f>'tab1 lvl'!Q58/'tab1 percent'!Q63</f>
        <v>0.43035017490960648</v>
      </c>
      <c r="R58" s="136">
        <f>'tab1 lvl'!R58/'tab1 percent'!R63</f>
        <v>0.39670465351344947</v>
      </c>
      <c r="S58" s="136">
        <f>'tab1 lvl'!S58/'tab1 percent'!S63</f>
        <v>0.37883900409447885</v>
      </c>
      <c r="T58" s="136">
        <f>'tab1 lvl'!T58/'tab1 percent'!T63</f>
        <v>0.33658103923911331</v>
      </c>
      <c r="U58" s="136">
        <f>'tab1 lvl'!U58/'tab1 percent'!U63</f>
        <v>0.34270564447032087</v>
      </c>
      <c r="V58" s="136">
        <f>'tab1 lvl'!V58/'tab1 percent'!V63</f>
        <v>0.33735918719657682</v>
      </c>
      <c r="W58" s="136">
        <f>'tab1 lvl'!W58/'tab1 percent'!W63</f>
        <v>0.31418898786199845</v>
      </c>
      <c r="X58" s="136">
        <f>'tab1 lvl'!X58/'tab1 percent'!X63</f>
        <v>0.34043886269894724</v>
      </c>
      <c r="Y58" s="136">
        <f>'tab1 lvl'!Y58/'tab1 percent'!Y63</f>
        <v>0.34026743921482355</v>
      </c>
      <c r="Z58" s="136">
        <f>'tab1 lvl'!Z58/'tab1 percent'!Z63</f>
        <v>0.34214300146229076</v>
      </c>
      <c r="AA58" s="136">
        <f>'tab1 lvl'!AA58/'tab1 percent'!AA63</f>
        <v>0.34268000166800044</v>
      </c>
      <c r="AB58" s="136">
        <f>'tab1 lvl'!AB58/'tab1 percent'!AB63</f>
        <v>0.34129111438629239</v>
      </c>
      <c r="AC58" s="136">
        <f>'tab1 lvl'!AC58/'tab1 percent'!AC63</f>
        <v>0.32696737440217682</v>
      </c>
      <c r="AD58" s="136">
        <f>'tab1 lvl'!AD58/'tab1 percent'!AD63</f>
        <v>0.32271357679587365</v>
      </c>
      <c r="AE58" s="136">
        <f>'tab1 lvl'!AE58/'tab1 percent'!AE63</f>
        <v>0.30482939918089441</v>
      </c>
      <c r="AF58" s="136">
        <f>'tab1 lvl'!AF58/'tab1 percent'!AF63</f>
        <v>0.28979314122521399</v>
      </c>
      <c r="AG58" s="136">
        <f>'tab1 lvl'!AG58/'tab1 percent'!AG63</f>
        <v>0.29225847744446215</v>
      </c>
      <c r="AH58" s="136">
        <f>'tab1 lvl'!AH58/'tab1 percent'!AH63</f>
        <v>0.28768605732381547</v>
      </c>
      <c r="AI58" s="136">
        <f>'tab1 lvl'!AI58/'tab1 percent'!AI63</f>
        <v>0.28513036575505457</v>
      </c>
      <c r="AJ58" s="136">
        <f>'tab1 lvl'!AJ58/'tab1 percent'!AJ63</f>
        <v>0.27026403109771058</v>
      </c>
      <c r="AK58" s="136">
        <f>'tab1 lvl'!AK58/'tab1 percent'!AK63</f>
        <v>0.23675748789396045</v>
      </c>
      <c r="AL58" s="136">
        <f>'tab1 lvl'!AL58/'tab1 percent'!AL63</f>
        <v>0.22605113900271459</v>
      </c>
      <c r="AM58" s="136">
        <f>'tab1 lvl'!AM58/'tab1 percent'!AM63</f>
        <v>0.21877159463263432</v>
      </c>
      <c r="AN58" s="136">
        <f>'tab1 lvl'!AN58/'tab1 percent'!AN63</f>
        <v>0.1997739371384902</v>
      </c>
      <c r="AO58" s="136">
        <f>'tab1 lvl'!AO58/'tab1 percent'!AO63</f>
        <v>0.18640667864470434</v>
      </c>
      <c r="AP58" s="136">
        <f>'tab1 lvl'!AP58/'tab1 percent'!AP63</f>
        <v>0.18957938068229993</v>
      </c>
      <c r="AQ58" s="136">
        <f>'tab1 lvl'!AQ58/'tab1 percent'!AQ63</f>
        <v>0.18358861125754844</v>
      </c>
      <c r="AR58" s="136">
        <f>'tab1 lvl'!AR58/'tab1 percent'!AR63</f>
        <v>0.18029355883227985</v>
      </c>
      <c r="AS58" s="136">
        <f>'tab1 lvl'!AS58/'tab1 percent'!AS63</f>
        <v>0.17811300054016821</v>
      </c>
      <c r="AT58" s="136">
        <f>'tab1 lvl'!AT58/'tab1 percent'!AT63</f>
        <v>0.1693381695004299</v>
      </c>
      <c r="AU58" s="136">
        <f>'tab1 lvl'!AU58/'tab1 percent'!AU63</f>
        <v>0.16939380964424394</v>
      </c>
      <c r="AV58" s="136">
        <f>'tab1 lvl'!AV58/'tab1 percent'!AV63</f>
        <v>0.16043863448544682</v>
      </c>
      <c r="AW58" s="136">
        <f>'tab1 lvl'!AW58/'tab1 percent'!AW63</f>
        <v>0.1598026864240428</v>
      </c>
      <c r="AX58" s="136">
        <f>'tab1 lvl'!AX58/'tab1 percent'!AX63</f>
        <v>0.16092362270193222</v>
      </c>
      <c r="AY58" s="136">
        <f>'tab1 lvl'!AY58/'tab1 percent'!AY63</f>
        <v>0.16521851810811358</v>
      </c>
    </row>
    <row r="59" spans="1:51" ht="16.5">
      <c r="A59" s="67" t="s">
        <v>38</v>
      </c>
      <c r="B59" s="2"/>
      <c r="C59" s="2"/>
      <c r="D59" s="2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</row>
    <row r="60" spans="1:51" ht="16.5">
      <c r="A60" s="68" t="s">
        <v>39</v>
      </c>
      <c r="B60" s="69" t="s">
        <v>40</v>
      </c>
      <c r="C60" s="69"/>
      <c r="D60" s="69"/>
      <c r="E60" s="139">
        <f>'tab1 lvl'!E60/'tab1 percent'!E63</f>
        <v>0.17000463178190778</v>
      </c>
      <c r="F60" s="139">
        <f>'tab1 lvl'!F60/'tab1 percent'!F63</f>
        <v>0.18342190217951659</v>
      </c>
      <c r="G60" s="139">
        <f>'tab1 lvl'!G60/'tab1 percent'!G63</f>
        <v>0.19870173867040428</v>
      </c>
      <c r="H60" s="139">
        <f>'tab1 lvl'!H60/'tab1 percent'!H63</f>
        <v>0.1628832745655398</v>
      </c>
      <c r="I60" s="139">
        <f>'tab1 lvl'!I60/'tab1 percent'!I63</f>
        <v>0.16226904481142201</v>
      </c>
      <c r="J60" s="139">
        <f>'tab1 lvl'!J60/'tab1 percent'!J63</f>
        <v>0.14810582265395622</v>
      </c>
      <c r="K60" s="139">
        <f>'tab1 lvl'!K60/'tab1 percent'!K63</f>
        <v>0.15388248650873834</v>
      </c>
      <c r="L60" s="139">
        <f>'tab1 lvl'!L60/'tab1 percent'!L63</f>
        <v>0.15505855664655893</v>
      </c>
      <c r="M60" s="139">
        <f>'tab1 lvl'!M60/'tab1 percent'!M63</f>
        <v>0.15424622996931694</v>
      </c>
      <c r="N60" s="139">
        <f>'tab1 lvl'!N60/'tab1 percent'!N63</f>
        <v>0.15598972726056737</v>
      </c>
      <c r="O60" s="139">
        <f>'tab1 lvl'!O60/'tab1 percent'!O63</f>
        <v>0.15202655858409575</v>
      </c>
      <c r="P60" s="139">
        <f>'tab1 lvl'!P60/'tab1 percent'!P63</f>
        <v>0.1464590297466257</v>
      </c>
      <c r="Q60" s="139">
        <f>'tab1 lvl'!Q60/'tab1 percent'!Q63</f>
        <v>0.15034247315027491</v>
      </c>
      <c r="R60" s="139">
        <f>'tab1 lvl'!R60/'tab1 percent'!R63</f>
        <v>0.14546413152004356</v>
      </c>
      <c r="S60" s="139">
        <f>'tab1 lvl'!S60/'tab1 percent'!S63</f>
        <v>0.14366678044998898</v>
      </c>
      <c r="T60" s="139">
        <f>'tab1 lvl'!T60/'tab1 percent'!T63</f>
        <v>0.13695896216063005</v>
      </c>
      <c r="U60" s="139">
        <f>'tab1 lvl'!U60/'tab1 percent'!U63</f>
        <v>0.15189271733672666</v>
      </c>
      <c r="V60" s="139">
        <f>'tab1 lvl'!V60/'tab1 percent'!V63</f>
        <v>0.14621829816393431</v>
      </c>
      <c r="W60" s="139">
        <f>'tab1 lvl'!W60/'tab1 percent'!W63</f>
        <v>0.14071390675971829</v>
      </c>
      <c r="X60" s="139">
        <f>'tab1 lvl'!X60/'tab1 percent'!X63</f>
        <v>0.14130497860204824</v>
      </c>
      <c r="Y60" s="139">
        <f>'tab1 lvl'!Y60/'tab1 percent'!Y63</f>
        <v>0.14074182286670545</v>
      </c>
      <c r="Z60" s="139">
        <f>'tab1 lvl'!Z60/'tab1 percent'!Z63</f>
        <v>0.13753650529776257</v>
      </c>
      <c r="AA60" s="139">
        <f>'tab1 lvl'!AA60/'tab1 percent'!AA63</f>
        <v>0.1393363563883713</v>
      </c>
      <c r="AB60" s="139">
        <f>'tab1 lvl'!AB60/'tab1 percent'!AB63</f>
        <v>0.13854929600025692</v>
      </c>
      <c r="AC60" s="139">
        <f>'tab1 lvl'!AC60/'tab1 percent'!AC63</f>
        <v>0.14720657955712718</v>
      </c>
      <c r="AD60" s="139">
        <f>'tab1 lvl'!AD60/'tab1 percent'!AD63</f>
        <v>0.1421907330455319</v>
      </c>
      <c r="AE60" s="139">
        <f>'tab1 lvl'!AE60/'tab1 percent'!AE63</f>
        <v>0.13417187703114131</v>
      </c>
      <c r="AF60" s="139">
        <f>'tab1 lvl'!AF60/'tab1 percent'!AF63</f>
        <v>0.13416182706118635</v>
      </c>
      <c r="AG60" s="139">
        <f>'tab1 lvl'!AG60/'tab1 percent'!AG63</f>
        <v>0.10891364625066965</v>
      </c>
      <c r="AH60" s="139">
        <f>'tab1 lvl'!AH60/'tab1 percent'!AH63</f>
        <v>0.11222347755194768</v>
      </c>
      <c r="AI60" s="139">
        <f>'tab1 lvl'!AI60/'tab1 percent'!AI63</f>
        <v>0.110081004631064</v>
      </c>
      <c r="AJ60" s="139">
        <f>'tab1 lvl'!AJ60/'tab1 percent'!AJ63</f>
        <v>0.12377112533833767</v>
      </c>
      <c r="AK60" s="139">
        <f>'tab1 lvl'!AK60/'tab1 percent'!AK63</f>
        <v>0.11788731474562519</v>
      </c>
      <c r="AL60" s="139">
        <f>'tab1 lvl'!AL60/'tab1 percent'!AL63</f>
        <v>0.12109037023308049</v>
      </c>
      <c r="AM60" s="139">
        <f>'tab1 lvl'!AM60/'tab1 percent'!AM63</f>
        <v>0.1295867988786174</v>
      </c>
      <c r="AN60" s="139">
        <f>'tab1 lvl'!AN60/'tab1 percent'!AN63</f>
        <v>0.13500379459914791</v>
      </c>
      <c r="AO60" s="139">
        <f>'tab1 lvl'!AO60/'tab1 percent'!AO63</f>
        <v>0.12898847854318377</v>
      </c>
      <c r="AP60" s="139">
        <f>'tab1 lvl'!AP60/'tab1 percent'!AP63</f>
        <v>0.12413708363348123</v>
      </c>
      <c r="AQ60" s="139">
        <f>'tab1 lvl'!AQ60/'tab1 percent'!AQ63</f>
        <v>0.12279995385076922</v>
      </c>
      <c r="AR60" s="139">
        <f>'tab1 lvl'!AR60/'tab1 percent'!AR63</f>
        <v>0.12459164415090736</v>
      </c>
      <c r="AS60" s="139">
        <f>'tab1 lvl'!AS60/'tab1 percent'!AS63</f>
        <v>0.12073491555268645</v>
      </c>
      <c r="AT60" s="139">
        <f>'tab1 lvl'!AT60/'tab1 percent'!AT63</f>
        <v>0.10665281730141841</v>
      </c>
      <c r="AU60" s="139">
        <f>'tab1 lvl'!AU60/'tab1 percent'!AU63</f>
        <v>0.10323617033066927</v>
      </c>
      <c r="AV60" s="139">
        <f>'tab1 lvl'!AV60/'tab1 percent'!AV63</f>
        <v>9.9914467090034931E-2</v>
      </c>
      <c r="AW60" s="139">
        <f>'tab1 lvl'!AW60/'tab1 percent'!AW63</f>
        <v>9.8912058139479744E-2</v>
      </c>
      <c r="AX60" s="139">
        <f>'tab1 lvl'!AX60/'tab1 percent'!AX63</f>
        <v>9.6762311768099935E-2</v>
      </c>
      <c r="AY60" s="139">
        <f>'tab1 lvl'!AY60/'tab1 percent'!AY63</f>
        <v>9.5149793922817458E-2</v>
      </c>
    </row>
    <row r="61" spans="1:51" ht="16.5">
      <c r="A61" s="2"/>
      <c r="B61" s="2"/>
      <c r="C61" s="2" t="s">
        <v>10</v>
      </c>
      <c r="D61" s="2"/>
      <c r="E61" s="118">
        <f>'tab1 lvl'!E61/'tab1 percent'!E63</f>
        <v>0.13388533019120563</v>
      </c>
      <c r="F61" s="118">
        <f>'tab1 lvl'!F61/'tab1 percent'!F63</f>
        <v>0.14406755861213386</v>
      </c>
      <c r="G61" s="118">
        <f>'tab1 lvl'!G61/'tab1 percent'!G63</f>
        <v>0.14884839703990652</v>
      </c>
      <c r="H61" s="118">
        <f>'tab1 lvl'!H61/'tab1 percent'!H63</f>
        <v>0.15334833271001388</v>
      </c>
      <c r="I61" s="118">
        <f>'tab1 lvl'!I61/'tab1 percent'!I63</f>
        <v>0.15319732597029539</v>
      </c>
      <c r="J61" s="118">
        <f>'tab1 lvl'!J61/'tab1 percent'!J63</f>
        <v>0.14296839092516889</v>
      </c>
      <c r="K61" s="118">
        <f>'tab1 lvl'!K61/'tab1 percent'!K63</f>
        <v>0.14870574482055862</v>
      </c>
      <c r="L61" s="118">
        <f>'tab1 lvl'!L61/'tab1 percent'!L63</f>
        <v>0.15028413367971469</v>
      </c>
      <c r="M61" s="118">
        <f>'tab1 lvl'!M61/'tab1 percent'!M63</f>
        <v>0.15220695850883936</v>
      </c>
      <c r="N61" s="118">
        <f>'tab1 lvl'!N61/'tab1 percent'!N63</f>
        <v>0.15390180045545077</v>
      </c>
      <c r="O61" s="118">
        <f>'tab1 lvl'!O61/'tab1 percent'!O63</f>
        <v>0.15009368666432751</v>
      </c>
      <c r="P61" s="118">
        <f>'tab1 lvl'!P61/'tab1 percent'!P63</f>
        <v>0.14508730679342902</v>
      </c>
      <c r="Q61" s="118">
        <f>'tab1 lvl'!Q61/'tab1 percent'!Q63</f>
        <v>0.1490132339718907</v>
      </c>
      <c r="R61" s="118">
        <f>'tab1 lvl'!R61/'tab1 percent'!R63</f>
        <v>0.14421506137254908</v>
      </c>
      <c r="S61" s="118">
        <f>'tab1 lvl'!S61/'tab1 percent'!S63</f>
        <v>0.14246597318008597</v>
      </c>
      <c r="T61" s="118">
        <f>'tab1 lvl'!T61/'tab1 percent'!T63</f>
        <v>0.1358777534478445</v>
      </c>
      <c r="U61" s="118">
        <f>'tab1 lvl'!U61/'tab1 percent'!U63</f>
        <v>0.1509805900050547</v>
      </c>
      <c r="V61" s="118">
        <f>'tab1 lvl'!V61/'tab1 percent'!V63</f>
        <v>0.14527107419269142</v>
      </c>
      <c r="W61" s="118">
        <f>'tab1 lvl'!W61/'tab1 percent'!W63</f>
        <v>0.13974704314881375</v>
      </c>
      <c r="X61" s="118">
        <f>'tab1 lvl'!X61/'tab1 percent'!X63</f>
        <v>0.1403479234493025</v>
      </c>
      <c r="Y61" s="118">
        <f>'tab1 lvl'!Y61/'tab1 percent'!Y63</f>
        <v>0.13977071162366159</v>
      </c>
      <c r="Z61" s="118">
        <f>'tab1 lvl'!Z61/'tab1 percent'!Z63</f>
        <v>0.13656978134552047</v>
      </c>
      <c r="AA61" s="118">
        <f>'tab1 lvl'!AA61/'tab1 percent'!AA63</f>
        <v>0.13816955811456724</v>
      </c>
      <c r="AB61" s="118">
        <f>'tab1 lvl'!AB61/'tab1 percent'!AB63</f>
        <v>0.13751056917966575</v>
      </c>
      <c r="AC61" s="118">
        <f>'tab1 lvl'!AC61/'tab1 percent'!AC63</f>
        <v>0.14667562515752292</v>
      </c>
      <c r="AD61" s="118">
        <f>'tab1 lvl'!AD61/'tab1 percent'!AD63</f>
        <v>0.14166527956396371</v>
      </c>
      <c r="AE61" s="118">
        <f>'tab1 lvl'!AE61/'tab1 percent'!AE63</f>
        <v>0.13368611355006443</v>
      </c>
      <c r="AF61" s="118">
        <f>'tab1 lvl'!AF61/'tab1 percent'!AF63</f>
        <v>0.12719638369928626</v>
      </c>
      <c r="AG61" s="118">
        <f>'tab1 lvl'!AG61/'tab1 percent'!AG63</f>
        <v>0.10845570061653949</v>
      </c>
      <c r="AH61" s="118">
        <f>'tab1 lvl'!AH61/'tab1 percent'!AH63</f>
        <v>0.11177322434320006</v>
      </c>
      <c r="AI61" s="118">
        <f>'tab1 lvl'!AI61/'tab1 percent'!AI63</f>
        <v>0.10963681846098418</v>
      </c>
      <c r="AJ61" s="118">
        <f>'tab1 lvl'!AJ61/'tab1 percent'!AJ63</f>
        <v>0.11727567447154108</v>
      </c>
      <c r="AK61" s="118">
        <f>'tab1 lvl'!AK61/'tab1 percent'!AK63</f>
        <v>0.11746533756700103</v>
      </c>
      <c r="AL61" s="118">
        <f>'tab1 lvl'!AL61/'tab1 percent'!AL63</f>
        <v>0.12068345594550603</v>
      </c>
      <c r="AM61" s="118">
        <f>'tab1 lvl'!AM61/'tab1 percent'!AM63</f>
        <v>0.12919276191950349</v>
      </c>
      <c r="AN61" s="118">
        <f>'tab1 lvl'!AN61/'tab1 percent'!AN63</f>
        <v>0.12743071193693381</v>
      </c>
      <c r="AO61" s="118">
        <f>'tab1 lvl'!AO61/'tab1 percent'!AO63</f>
        <v>0.1219152262741184</v>
      </c>
      <c r="AP61" s="118">
        <f>'tab1 lvl'!AP61/'tab1 percent'!AP63</f>
        <v>0.11679700952972764</v>
      </c>
      <c r="AQ61" s="118">
        <f>'tab1 lvl'!AQ61/'tab1 percent'!AQ63</f>
        <v>0.1155793973376345</v>
      </c>
      <c r="AR61" s="118">
        <f>'tab1 lvl'!AR61/'tab1 percent'!AR63</f>
        <v>0.11735304340925184</v>
      </c>
      <c r="AS61" s="118">
        <f>'tab1 lvl'!AS61/'tab1 percent'!AS63</f>
        <v>0.11372247081046784</v>
      </c>
      <c r="AT61" s="118">
        <f>'tab1 lvl'!AT61/'tab1 percent'!AT63</f>
        <v>9.9841847928387961E-2</v>
      </c>
      <c r="AU61" s="118">
        <f>'tab1 lvl'!AU61/'tab1 percent'!AU63</f>
        <v>9.6445070312972711E-2</v>
      </c>
      <c r="AV61" s="118">
        <f>'tab1 lvl'!AV61/'tab1 percent'!AV63</f>
        <v>9.3390267739514601E-2</v>
      </c>
      <c r="AW61" s="118">
        <f>'tab1 lvl'!AW61/'tab1 percent'!AW63</f>
        <v>9.2538585076516439E-2</v>
      </c>
      <c r="AX61" s="118">
        <f>'tab1 lvl'!AX61/'tab1 percent'!AX63</f>
        <v>9.0215977107114098E-2</v>
      </c>
      <c r="AY61" s="118">
        <f>'tab1 lvl'!AY61/'tab1 percent'!AY63</f>
        <v>8.8435562232679732E-2</v>
      </c>
    </row>
    <row r="62" spans="1:51" ht="16.5">
      <c r="A62" s="2"/>
      <c r="B62" s="2"/>
      <c r="C62" s="2" t="s">
        <v>11</v>
      </c>
      <c r="D62" s="2"/>
      <c r="E62" s="118">
        <f>'tab1 lvl'!E62/'tab1 percent'!E63</f>
        <v>3.611930159070216E-2</v>
      </c>
      <c r="F62" s="118">
        <f>'tab1 lvl'!F62/'tab1 percent'!F63</f>
        <v>3.9354343567382752E-2</v>
      </c>
      <c r="G62" s="118">
        <f>'tab1 lvl'!G62/'tab1 percent'!G63</f>
        <v>4.9853341630497774E-2</v>
      </c>
      <c r="H62" s="118">
        <f>'tab1 lvl'!H62/'tab1 percent'!H63</f>
        <v>9.5349418555259469E-3</v>
      </c>
      <c r="I62" s="118">
        <f>'tab1 lvl'!I62/'tab1 percent'!I63</f>
        <v>9.0717188411266105E-3</v>
      </c>
      <c r="J62" s="118">
        <f>'tab1 lvl'!J62/'tab1 percent'!J63</f>
        <v>5.1374317287873278E-3</v>
      </c>
      <c r="K62" s="118">
        <f>'tab1 lvl'!K62/'tab1 percent'!K63</f>
        <v>5.1767416881797271E-3</v>
      </c>
      <c r="L62" s="118">
        <f>'tab1 lvl'!L62/'tab1 percent'!L63</f>
        <v>4.7744229668442604E-3</v>
      </c>
      <c r="M62" s="118">
        <f>'tab1 lvl'!M62/'tab1 percent'!M63</f>
        <v>2.0392714604775962E-3</v>
      </c>
      <c r="N62" s="118">
        <f>'tab1 lvl'!N62/'tab1 percent'!N63</f>
        <v>2.087926805116597E-3</v>
      </c>
      <c r="O62" s="118">
        <f>'tab1 lvl'!O62/'tab1 percent'!O63</f>
        <v>1.9328719197682417E-3</v>
      </c>
      <c r="P62" s="118">
        <f>'tab1 lvl'!P62/'tab1 percent'!P63</f>
        <v>1.3717229531966749E-3</v>
      </c>
      <c r="Q62" s="118">
        <f>'tab1 lvl'!Q62/'tab1 percent'!Q63</f>
        <v>1.3292391783842107E-3</v>
      </c>
      <c r="R62" s="118">
        <f>'tab1 lvl'!R62/'tab1 percent'!R63</f>
        <v>1.2490701474944757E-3</v>
      </c>
      <c r="S62" s="118">
        <f>'tab1 lvl'!S62/'tab1 percent'!S63</f>
        <v>1.2008072699030237E-3</v>
      </c>
      <c r="T62" s="118">
        <f>'tab1 lvl'!T62/'tab1 percent'!T63</f>
        <v>1.0812087127855603E-3</v>
      </c>
      <c r="U62" s="118">
        <f>'tab1 lvl'!U62/'tab1 percent'!U63</f>
        <v>9.1212733167195053E-4</v>
      </c>
      <c r="V62" s="118">
        <f>'tab1 lvl'!V62/'tab1 percent'!V63</f>
        <v>9.4722397124288545E-4</v>
      </c>
      <c r="W62" s="118">
        <f>'tab1 lvl'!W62/'tab1 percent'!W63</f>
        <v>9.6686361090452878E-4</v>
      </c>
      <c r="X62" s="118">
        <f>'tab1 lvl'!X62/'tab1 percent'!X63</f>
        <v>9.5705515274573452E-4</v>
      </c>
      <c r="Y62" s="118">
        <f>'tab1 lvl'!Y62/'tab1 percent'!Y63</f>
        <v>9.7111124304388719E-4</v>
      </c>
      <c r="Z62" s="118">
        <f>'tab1 lvl'!Z62/'tab1 percent'!Z63</f>
        <v>9.6672395224208093E-4</v>
      </c>
      <c r="AA62" s="118">
        <f>'tab1 lvl'!AA62/'tab1 percent'!AA63</f>
        <v>1.1667982738040583E-3</v>
      </c>
      <c r="AB62" s="118">
        <f>'tab1 lvl'!AB62/'tab1 percent'!AB63</f>
        <v>1.0387268205911606E-3</v>
      </c>
      <c r="AC62" s="118">
        <f>'tab1 lvl'!AC62/'tab1 percent'!AC63</f>
        <v>5.3095439960426356E-4</v>
      </c>
      <c r="AD62" s="118">
        <f>'tab1 lvl'!AD62/'tab1 percent'!AD63</f>
        <v>5.2545348156816853E-4</v>
      </c>
      <c r="AE62" s="118">
        <f>'tab1 lvl'!AE62/'tab1 percent'!AE63</f>
        <v>4.857634810768897E-4</v>
      </c>
      <c r="AF62" s="118">
        <f>'tab1 lvl'!AF62/'tab1 percent'!AF63</f>
        <v>6.9654433619000655E-3</v>
      </c>
      <c r="AG62" s="118">
        <f>'tab1 lvl'!AG62/'tab1 percent'!AG63</f>
        <v>4.5794563413015515E-4</v>
      </c>
      <c r="AH62" s="118">
        <f>'tab1 lvl'!AH62/'tab1 percent'!AH63</f>
        <v>4.5025320874763025E-4</v>
      </c>
      <c r="AI62" s="118">
        <f>'tab1 lvl'!AI62/'tab1 percent'!AI63</f>
        <v>4.4418617007982967E-4</v>
      </c>
      <c r="AJ62" s="118">
        <f>'tab1 lvl'!AJ62/'tab1 percent'!AJ63</f>
        <v>6.4954508667965953E-3</v>
      </c>
      <c r="AK62" s="118">
        <f>'tab1 lvl'!AK62/'tab1 percent'!AK63</f>
        <v>4.2197717862415407E-4</v>
      </c>
      <c r="AL62" s="118">
        <f>'tab1 lvl'!AL62/'tab1 percent'!AL63</f>
        <v>4.0691428757446525E-4</v>
      </c>
      <c r="AM62" s="118">
        <f>'tab1 lvl'!AM62/'tab1 percent'!AM63</f>
        <v>3.9403695911390988E-4</v>
      </c>
      <c r="AN62" s="118">
        <f>'tab1 lvl'!AN62/'tab1 percent'!AN63</f>
        <v>7.5730826622140961E-3</v>
      </c>
      <c r="AO62" s="118">
        <f>'tab1 lvl'!AO62/'tab1 percent'!AO63</f>
        <v>7.0732522690653658E-3</v>
      </c>
      <c r="AP62" s="118">
        <f>'tab1 lvl'!AP62/'tab1 percent'!AP63</f>
        <v>7.3400741037536067E-3</v>
      </c>
      <c r="AQ62" s="118">
        <f>'tab1 lvl'!AQ62/'tab1 percent'!AQ63</f>
        <v>7.2205565131347235E-3</v>
      </c>
      <c r="AR62" s="118">
        <f>'tab1 lvl'!AR62/'tab1 percent'!AR63</f>
        <v>7.2386007416555091E-3</v>
      </c>
      <c r="AS62" s="118">
        <f>'tab1 lvl'!AS62/'tab1 percent'!AS63</f>
        <v>7.0124447422186004E-3</v>
      </c>
      <c r="AT62" s="118">
        <f>'tab1 lvl'!AT62/'tab1 percent'!AT63</f>
        <v>6.8109693730304486E-3</v>
      </c>
      <c r="AU62" s="118">
        <f>'tab1 lvl'!AU62/'tab1 percent'!AU63</f>
        <v>6.7911000176965599E-3</v>
      </c>
      <c r="AV62" s="118">
        <f>'tab1 lvl'!AV62/'tab1 percent'!AV63</f>
        <v>6.5241993505203303E-3</v>
      </c>
      <c r="AW62" s="118">
        <f>'tab1 lvl'!AW62/'tab1 percent'!AW63</f>
        <v>6.3734730629633049E-3</v>
      </c>
      <c r="AX62" s="118">
        <f>'tab1 lvl'!AX62/'tab1 percent'!AX63</f>
        <v>6.5463346609858355E-3</v>
      </c>
      <c r="AY62" s="118">
        <f>'tab1 lvl'!AY62/'tab1 percent'!AY63</f>
        <v>6.7142316901377267E-3</v>
      </c>
    </row>
    <row r="63" spans="1:51" ht="16.5">
      <c r="A63" s="71" t="s">
        <v>39</v>
      </c>
      <c r="B63" s="72" t="s">
        <v>41</v>
      </c>
      <c r="C63" s="72"/>
      <c r="D63" s="72"/>
      <c r="E63" s="73">
        <v>4667.75</v>
      </c>
      <c r="F63" s="73">
        <v>4810.6080000000002</v>
      </c>
      <c r="G63" s="73">
        <v>4954.3029999999999</v>
      </c>
      <c r="H63" s="73">
        <v>5120.4350000000004</v>
      </c>
      <c r="I63" s="73">
        <v>5241.6769999999997</v>
      </c>
      <c r="J63" s="73">
        <v>5386.2380000000003</v>
      </c>
      <c r="K63" s="73">
        <v>5519.1279999999997</v>
      </c>
      <c r="L63" s="73">
        <v>5677.75</v>
      </c>
      <c r="M63" s="74">
        <v>5826.0119999999997</v>
      </c>
      <c r="N63" s="74">
        <v>5973.4229999999998</v>
      </c>
      <c r="O63" s="74">
        <v>6110.4979999999996</v>
      </c>
      <c r="P63" s="75">
        <v>6271.1570000000002</v>
      </c>
      <c r="Q63" s="76">
        <v>6406.2060000000001</v>
      </c>
      <c r="R63" s="77">
        <v>6568.2460000000001</v>
      </c>
      <c r="S63" s="77">
        <v>6705.5640000000003</v>
      </c>
      <c r="T63" s="76">
        <v>6892.7209999999995</v>
      </c>
      <c r="U63" s="73">
        <v>7033.0969999999998</v>
      </c>
      <c r="V63" s="77">
        <v>7258.03</v>
      </c>
      <c r="W63" s="77">
        <v>7516.51</v>
      </c>
      <c r="X63" s="76">
        <v>7720.9030000000002</v>
      </c>
      <c r="Y63" s="76">
        <v>7815.4279999999999</v>
      </c>
      <c r="Z63" s="76">
        <v>7868.1819999999998</v>
      </c>
      <c r="AA63" s="78">
        <v>7895.9750000000004</v>
      </c>
      <c r="AB63" s="74">
        <v>8026.143</v>
      </c>
      <c r="AC63" s="76">
        <f>1968.888+1952.87+2295.828+2050.544</f>
        <v>8268.1299999999992</v>
      </c>
      <c r="AD63" s="74">
        <v>8545</v>
      </c>
      <c r="AE63" s="74">
        <v>8769.7000000000007</v>
      </c>
      <c r="AF63" s="74">
        <v>9003.48</v>
      </c>
      <c r="AG63" s="76">
        <v>9193.2309999999998</v>
      </c>
      <c r="AH63" s="76">
        <v>9372.5040000000008</v>
      </c>
      <c r="AI63" s="78">
        <v>9523.0339999999997</v>
      </c>
      <c r="AJ63" s="78">
        <v>9708.3330000000005</v>
      </c>
      <c r="AK63" s="76">
        <f>2425.07+2328.064+2714.904+2414.013</f>
        <v>9882.0509999999995</v>
      </c>
      <c r="AL63" s="76">
        <f>2328.064+2714.904+2414.013+2618.851</f>
        <v>10075.832</v>
      </c>
      <c r="AM63" s="78">
        <f>2714.904+2414.013+2618.851+2555.834</f>
        <v>10303.601999999999</v>
      </c>
      <c r="AN63" s="78">
        <f>2414.013+2618.851+2555.834+2972.391</f>
        <v>10561.089</v>
      </c>
      <c r="AO63" s="76">
        <f>2618.851+2555.834+2972.391+2636.549</f>
        <v>10783.625</v>
      </c>
      <c r="AP63" s="76">
        <f>2555.834+2972.391+2636.549+2851.672</f>
        <v>11016.446</v>
      </c>
      <c r="AQ63" s="76">
        <f>2972.391+2636.549+2851.672+2797.523</f>
        <v>11258.135000000002</v>
      </c>
      <c r="AR63" s="78">
        <v>11542.286</v>
      </c>
      <c r="AS63" s="78">
        <f>2851.672+2797.523+3256.542+2879.481</f>
        <v>11785.217999999999</v>
      </c>
      <c r="AT63" s="76">
        <f>2797.523+3256.542+2879.481+3141.857</f>
        <v>12075.403</v>
      </c>
      <c r="AU63" s="79">
        <f>3256.542+2879.481+3141.857+3046.549</f>
        <v>12324.429</v>
      </c>
      <c r="AV63" s="76">
        <v>12642.736000000001</v>
      </c>
      <c r="AW63" s="76">
        <f>'tab1 lvl'!AW63</f>
        <v>12795.2215682675</v>
      </c>
      <c r="AX63" s="76">
        <f>'tab1 lvl'!AX63</f>
        <v>12965.24</v>
      </c>
      <c r="AY63" s="76">
        <f>'tab1 lvl'!AY63</f>
        <v>13099.962000000001</v>
      </c>
    </row>
    <row r="64" spans="1:51" ht="14.1" customHeight="1">
      <c r="A64" s="80" t="s">
        <v>42</v>
      </c>
      <c r="B64" s="80"/>
      <c r="C64" s="80"/>
      <c r="D64" s="81"/>
      <c r="E64" s="82"/>
      <c r="F64" s="2"/>
      <c r="G64" s="2"/>
      <c r="H64" s="2"/>
      <c r="I64" s="3"/>
      <c r="J64" s="2"/>
      <c r="K64" s="3"/>
      <c r="L64" s="8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4.1" customHeight="1">
      <c r="A65" s="2" t="s">
        <v>43</v>
      </c>
      <c r="B65" s="2" t="s">
        <v>44</v>
      </c>
      <c r="C65" s="2"/>
      <c r="D65" s="2"/>
      <c r="E65" s="45"/>
      <c r="F65" s="45"/>
      <c r="G65" s="24"/>
      <c r="H65" s="24"/>
      <c r="I65" s="24"/>
      <c r="J65" s="24"/>
      <c r="K65" s="84"/>
      <c r="L65" s="4"/>
      <c r="M65" s="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4.1" customHeight="1">
      <c r="A66" s="2"/>
      <c r="B66" s="2" t="s">
        <v>45</v>
      </c>
      <c r="C66" s="2"/>
      <c r="D66" s="2"/>
      <c r="E66" s="45"/>
      <c r="F66" s="45"/>
      <c r="G66" s="24"/>
      <c r="H66" s="24"/>
      <c r="I66" s="24"/>
      <c r="J66" s="24"/>
      <c r="K66" s="65"/>
      <c r="L66" s="4"/>
      <c r="M66" s="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4.1" customHeight="1">
      <c r="A67" s="2" t="s">
        <v>46</v>
      </c>
      <c r="B67" s="2" t="s">
        <v>47</v>
      </c>
      <c r="C67" s="2"/>
      <c r="D67" s="2"/>
      <c r="E67" s="3"/>
      <c r="F67" s="3"/>
      <c r="G67" s="3"/>
      <c r="H67" s="22"/>
      <c r="I67" s="2"/>
      <c r="J67" s="2"/>
      <c r="K67" s="65"/>
      <c r="L67" s="4"/>
      <c r="M67" s="85"/>
      <c r="N67" s="85"/>
      <c r="O67" s="85"/>
      <c r="P67" s="85"/>
      <c r="Q67" s="2"/>
      <c r="R67" s="86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4.1" customHeight="1">
      <c r="A68" s="2" t="s">
        <v>48</v>
      </c>
      <c r="B68" s="2" t="s">
        <v>49</v>
      </c>
      <c r="C68" s="4"/>
      <c r="D68" s="4"/>
      <c r="E68" s="3"/>
      <c r="F68" s="3"/>
      <c r="G68" s="3"/>
      <c r="H68" s="22"/>
      <c r="I68" s="2"/>
      <c r="J68" s="24"/>
      <c r="K68" s="2"/>
      <c r="L68" s="4"/>
      <c r="M68" s="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4.1" customHeight="1">
      <c r="A69" s="2" t="s">
        <v>50</v>
      </c>
      <c r="B69" s="2" t="s">
        <v>51</v>
      </c>
      <c r="C69" s="2"/>
      <c r="D69" s="2"/>
      <c r="E69" s="45"/>
      <c r="F69" s="45"/>
      <c r="G69" s="24"/>
      <c r="H69" s="24"/>
      <c r="I69" s="24"/>
      <c r="J69" s="24"/>
      <c r="K69" s="2"/>
      <c r="L69" s="4"/>
      <c r="M69" s="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4.1" customHeight="1">
      <c r="A70" s="2"/>
      <c r="B70" s="2" t="s">
        <v>52</v>
      </c>
      <c r="C70" s="2"/>
      <c r="D70" s="2"/>
      <c r="E70" s="45"/>
      <c r="F70" s="45"/>
      <c r="G70" s="24"/>
      <c r="H70" s="24"/>
      <c r="I70" s="24"/>
      <c r="J70" s="24"/>
      <c r="K70" s="2"/>
      <c r="L70" s="4"/>
      <c r="M70" s="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4.1" customHeight="1">
      <c r="A71" s="2" t="s">
        <v>53</v>
      </c>
      <c r="B71" s="2"/>
      <c r="C71" s="2"/>
      <c r="D71" s="2"/>
      <c r="E71" s="3"/>
      <c r="F71" s="3"/>
      <c r="G71" s="3"/>
      <c r="H71" s="3"/>
      <c r="I71" s="3"/>
      <c r="J71" s="22"/>
      <c r="K71" s="2"/>
      <c r="L71" s="4"/>
      <c r="M71" s="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4.1" customHeight="1">
      <c r="A72" s="2" t="s">
        <v>54</v>
      </c>
      <c r="B72" s="2" t="s">
        <v>55</v>
      </c>
      <c r="C72" s="2"/>
      <c r="D72" s="2"/>
      <c r="E72" s="3"/>
      <c r="F72" s="3"/>
      <c r="G72" s="3"/>
      <c r="H72" s="3"/>
      <c r="I72" s="3"/>
      <c r="J72" s="22"/>
      <c r="K72" s="2"/>
      <c r="L72" s="4"/>
      <c r="M72" s="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4.1" customHeight="1">
      <c r="A73" s="2"/>
      <c r="B73" s="2" t="s">
        <v>56</v>
      </c>
      <c r="C73" s="2"/>
      <c r="D73" s="2"/>
      <c r="E73" s="3"/>
      <c r="F73" s="3"/>
      <c r="G73" s="3"/>
      <c r="H73" s="3"/>
      <c r="I73" s="3"/>
      <c r="J73" s="22"/>
      <c r="K73" s="2"/>
      <c r="L73" s="4"/>
      <c r="M73" s="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4.1" customHeight="1">
      <c r="A74" s="2"/>
      <c r="B74" s="2" t="s">
        <v>57</v>
      </c>
      <c r="C74" s="2"/>
      <c r="D74" s="2"/>
      <c r="E74" s="3"/>
      <c r="F74" s="3"/>
      <c r="G74" s="3"/>
      <c r="H74" s="3"/>
      <c r="I74" s="3"/>
      <c r="J74" s="22"/>
      <c r="K74" s="2"/>
      <c r="L74" s="4"/>
      <c r="M74" s="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4.1" customHeight="1">
      <c r="A75" s="2"/>
      <c r="B75" s="2" t="s">
        <v>58</v>
      </c>
      <c r="C75" s="2"/>
      <c r="D75" s="2"/>
      <c r="E75" s="3"/>
      <c r="F75" s="3"/>
      <c r="G75" s="3"/>
      <c r="H75" s="3"/>
      <c r="I75" s="3"/>
      <c r="J75" s="22"/>
      <c r="K75" s="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</sheetData>
  <mergeCells count="13">
    <mergeCell ref="BA3:BD3"/>
    <mergeCell ref="AC3:AF3"/>
    <mergeCell ref="AG3:AJ3"/>
    <mergeCell ref="AK3:AN3"/>
    <mergeCell ref="AO3:AR3"/>
    <mergeCell ref="AS3:AV3"/>
    <mergeCell ref="AW3:AZ3"/>
    <mergeCell ref="Y3:AB3"/>
    <mergeCell ref="E3:H3"/>
    <mergeCell ref="I3:L3"/>
    <mergeCell ref="M3:P3"/>
    <mergeCell ref="Q3:T3"/>
    <mergeCell ref="U3:X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60"/>
  <sheetViews>
    <sheetView tabSelected="1" topLeftCell="AR31" workbookViewId="0">
      <selection activeCell="AY40" sqref="AY40"/>
    </sheetView>
  </sheetViews>
  <sheetFormatPr defaultRowHeight="15"/>
  <cols>
    <col min="1" max="3" width="2.42578125" customWidth="1"/>
    <col min="4" max="4" width="42.5703125" customWidth="1"/>
    <col min="5" max="28" width="0" hidden="1" customWidth="1"/>
    <col min="52" max="52" width="0" hidden="1" customWidth="1"/>
  </cols>
  <sheetData>
    <row r="1" spans="1:52" ht="16.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4"/>
      <c r="AP1" s="4"/>
      <c r="AQ1" s="4"/>
      <c r="AR1" s="4"/>
      <c r="AS1" s="4"/>
      <c r="AT1" s="4"/>
      <c r="AU1" s="4"/>
      <c r="AV1" s="4"/>
      <c r="AW1" s="4"/>
    </row>
    <row r="2" spans="1:52" ht="16.5">
      <c r="A2" s="5" t="s">
        <v>1</v>
      </c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"/>
      <c r="AP2" s="4"/>
      <c r="AQ2" s="4"/>
      <c r="AR2" s="4"/>
      <c r="AS2" s="4"/>
      <c r="AT2" s="4"/>
      <c r="AU2" s="4"/>
      <c r="AV2" s="4"/>
      <c r="AW2" s="4"/>
    </row>
    <row r="3" spans="1:52" ht="16.5">
      <c r="A3" s="7"/>
      <c r="B3" s="7"/>
      <c r="C3" s="7"/>
      <c r="D3" s="7"/>
      <c r="E3" s="147">
        <v>2004</v>
      </c>
      <c r="F3" s="147"/>
      <c r="G3" s="147"/>
      <c r="H3" s="147"/>
      <c r="I3" s="147">
        <v>2005</v>
      </c>
      <c r="J3" s="147"/>
      <c r="K3" s="147"/>
      <c r="L3" s="147"/>
      <c r="M3" s="147">
        <v>2006</v>
      </c>
      <c r="N3" s="147"/>
      <c r="O3" s="147"/>
      <c r="P3" s="147"/>
      <c r="Q3" s="147">
        <v>2007</v>
      </c>
      <c r="R3" s="147"/>
      <c r="S3" s="147"/>
      <c r="T3" s="147"/>
      <c r="U3" s="147">
        <v>2008</v>
      </c>
      <c r="V3" s="147"/>
      <c r="W3" s="147"/>
      <c r="X3" s="147"/>
      <c r="Y3" s="147">
        <v>2009</v>
      </c>
      <c r="Z3" s="147"/>
      <c r="AA3" s="147"/>
      <c r="AB3" s="147"/>
      <c r="AC3" s="147">
        <v>2010</v>
      </c>
      <c r="AD3" s="147"/>
      <c r="AE3" s="147"/>
      <c r="AF3" s="147"/>
      <c r="AG3" s="147">
        <v>2011</v>
      </c>
      <c r="AH3" s="147"/>
      <c r="AI3" s="147"/>
      <c r="AJ3" s="147"/>
      <c r="AK3" s="147">
        <v>2012</v>
      </c>
      <c r="AL3" s="147"/>
      <c r="AM3" s="147"/>
      <c r="AN3" s="147"/>
      <c r="AO3" s="147">
        <v>2013</v>
      </c>
      <c r="AP3" s="147"/>
      <c r="AQ3" s="147"/>
      <c r="AR3" s="147"/>
      <c r="AS3" s="149">
        <v>2014</v>
      </c>
      <c r="AT3" s="149"/>
      <c r="AU3" s="149"/>
      <c r="AV3" s="149"/>
      <c r="AW3" s="149">
        <v>2015</v>
      </c>
      <c r="AX3" s="149"/>
      <c r="AY3" s="149"/>
      <c r="AZ3" s="149"/>
    </row>
    <row r="4" spans="1:52" s="127" customFormat="1" ht="16.5">
      <c r="A4" s="10"/>
      <c r="B4" s="10"/>
      <c r="C4" s="10"/>
      <c r="D4" s="10"/>
      <c r="E4" s="10" t="s">
        <v>6</v>
      </c>
      <c r="F4" s="10" t="s">
        <v>7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4</v>
      </c>
      <c r="L4" s="10" t="s">
        <v>5</v>
      </c>
      <c r="M4" s="10" t="s">
        <v>6</v>
      </c>
      <c r="N4" s="10" t="s">
        <v>7</v>
      </c>
      <c r="O4" s="10" t="s">
        <v>4</v>
      </c>
      <c r="P4" s="10" t="s">
        <v>5</v>
      </c>
      <c r="Q4" s="10" t="s">
        <v>6</v>
      </c>
      <c r="R4" s="10" t="s">
        <v>7</v>
      </c>
      <c r="S4" s="10" t="s">
        <v>4</v>
      </c>
      <c r="T4" s="10" t="s">
        <v>5</v>
      </c>
      <c r="U4" s="10" t="s">
        <v>6</v>
      </c>
      <c r="V4" s="10" t="s">
        <v>7</v>
      </c>
      <c r="W4" s="10" t="s">
        <v>4</v>
      </c>
      <c r="X4" s="10" t="s">
        <v>5</v>
      </c>
      <c r="Y4" s="10" t="s">
        <v>6</v>
      </c>
      <c r="Z4" s="10" t="s">
        <v>7</v>
      </c>
      <c r="AA4" s="10" t="s">
        <v>4</v>
      </c>
      <c r="AB4" s="10" t="s">
        <v>5</v>
      </c>
      <c r="AC4" s="10" t="s">
        <v>6</v>
      </c>
      <c r="AD4" s="10" t="s">
        <v>7</v>
      </c>
      <c r="AE4" s="10" t="s">
        <v>4</v>
      </c>
      <c r="AF4" s="10" t="s">
        <v>5</v>
      </c>
      <c r="AG4" s="10" t="s">
        <v>6</v>
      </c>
      <c r="AH4" s="10" t="s">
        <v>7</v>
      </c>
      <c r="AI4" s="10" t="s">
        <v>4</v>
      </c>
      <c r="AJ4" s="10" t="s">
        <v>5</v>
      </c>
      <c r="AK4" s="10" t="s">
        <v>6</v>
      </c>
      <c r="AL4" s="10" t="s">
        <v>7</v>
      </c>
      <c r="AM4" s="10" t="s">
        <v>4</v>
      </c>
      <c r="AN4" s="10" t="s">
        <v>5</v>
      </c>
      <c r="AO4" s="10" t="s">
        <v>6</v>
      </c>
      <c r="AP4" s="10" t="s">
        <v>7</v>
      </c>
      <c r="AQ4" s="10" t="s">
        <v>4</v>
      </c>
      <c r="AR4" s="10" t="s">
        <v>5</v>
      </c>
      <c r="AS4" s="10" t="s">
        <v>6</v>
      </c>
      <c r="AT4" s="10" t="s">
        <v>7</v>
      </c>
      <c r="AU4" s="10" t="s">
        <v>4</v>
      </c>
      <c r="AV4" s="10" t="s">
        <v>5</v>
      </c>
      <c r="AW4" s="10" t="s">
        <v>6</v>
      </c>
      <c r="AX4" s="10" t="s">
        <v>7</v>
      </c>
      <c r="AY4" s="10" t="s">
        <v>4</v>
      </c>
      <c r="AZ4" s="10" t="s">
        <v>5</v>
      </c>
    </row>
    <row r="5" spans="1:52" ht="16.5">
      <c r="A5" s="87" t="s">
        <v>8</v>
      </c>
      <c r="B5" s="88" t="s">
        <v>60</v>
      </c>
      <c r="C5" s="88"/>
      <c r="D5" s="88"/>
      <c r="E5" s="140">
        <f>'tab2 lvl'!E5/'tab2 percent'!E55</f>
        <v>0.96168864651970221</v>
      </c>
      <c r="F5" s="140">
        <f>'tab2 lvl'!F5/'tab2 percent'!F55</f>
        <v>0.93344487740029525</v>
      </c>
      <c r="G5" s="140">
        <f>'tab2 lvl'!G5/'tab2 percent'!G55</f>
        <v>0.92670214755413027</v>
      </c>
      <c r="H5" s="140">
        <f>'tab2 lvl'!H5/'tab2 percent'!H55</f>
        <v>0.90398141798499543</v>
      </c>
      <c r="I5" s="140">
        <f>'tab2 lvl'!I5/'tab2 percent'!I55</f>
        <v>0.88018921406259865</v>
      </c>
      <c r="J5" s="140">
        <f>'tab2 lvl'!J5/'tab2 percent'!J55</f>
        <v>0.87585383656273452</v>
      </c>
      <c r="K5" s="140">
        <f>'tab2 lvl'!K5/'tab2 percent'!K55</f>
        <v>0.87163979768159772</v>
      </c>
      <c r="L5" s="140">
        <f>'tab2 lvl'!L5/'tab2 percent'!L55</f>
        <v>0.82346721600980144</v>
      </c>
      <c r="M5" s="140">
        <f>'tab2 lvl'!M5/'tab2 percent'!M55</f>
        <v>0.78574268018776317</v>
      </c>
      <c r="N5" s="140">
        <f>'tab2 lvl'!N5/'tab2 percent'!N55</f>
        <v>0.77417862540518068</v>
      </c>
      <c r="O5" s="140">
        <f>'tab2 lvl'!O5/'tab2 percent'!O55</f>
        <v>0.73315369751831194</v>
      </c>
      <c r="P5" s="140">
        <f>'tab2 lvl'!P5/'tab2 percent'!P55</f>
        <v>0.71039334695074607</v>
      </c>
      <c r="Q5" s="140">
        <f>'tab2 lvl'!Q5/'tab2 percent'!Q55</f>
        <v>0.69076640627720998</v>
      </c>
      <c r="R5" s="140">
        <f>'tab2 lvl'!R5/'tab2 percent'!R55</f>
        <v>0.63839444193766193</v>
      </c>
      <c r="S5" s="140">
        <f>'tab2 lvl'!S5/'tab2 percent'!S55</f>
        <v>0.62456078534740267</v>
      </c>
      <c r="T5" s="140">
        <f>'tab2 lvl'!T5/'tab2 percent'!T55</f>
        <v>0.58413729540825177</v>
      </c>
      <c r="U5" s="140">
        <f>'tab2 lvl'!U5/'tab2 percent'!U55</f>
        <v>0.58125512660822254</v>
      </c>
      <c r="V5" s="140">
        <f>'tab2 lvl'!V5/'tab2 percent'!V55</f>
        <v>0.58405017990296682</v>
      </c>
      <c r="W5" s="140">
        <f>'tab2 lvl'!W5/'tab2 percent'!W55</f>
        <v>0.58773659230169717</v>
      </c>
      <c r="X5" s="140">
        <f>'tab2 lvl'!X5/'tab2 percent'!X55</f>
        <v>0.58177241611138997</v>
      </c>
      <c r="Y5" s="140">
        <f>'tab2 lvl'!Y5/'tab2 percent'!Y55</f>
        <v>0.57102226447802218</v>
      </c>
      <c r="Z5" s="140">
        <f>'tab2 lvl'!Z5/'tab2 percent'!Z55</f>
        <v>0.57295552150719187</v>
      </c>
      <c r="AA5" s="140">
        <f>'tab2 lvl'!AA5/'tab2 percent'!AA55</f>
        <v>0.5775814264692074</v>
      </c>
      <c r="AB5" s="140">
        <f>'tab2 lvl'!AB5/'tab2 percent'!AB55</f>
        <v>0.58037396024736787</v>
      </c>
      <c r="AC5" s="140">
        <f>'tab2 lvl'!AC5/'tab2 percent'!AC55</f>
        <v>0.55593686855720581</v>
      </c>
      <c r="AD5" s="140">
        <f>'tab2 lvl'!AD5/'tab2 percent'!AD55</f>
        <v>0.55327112265589817</v>
      </c>
      <c r="AE5" s="140">
        <f>'tab2 lvl'!AE5/'tab2 percent'!AE55</f>
        <v>0.5444359747922084</v>
      </c>
      <c r="AF5" s="140">
        <f>'tab2 lvl'!AF5/'tab2 percent'!AF55</f>
        <v>0.53528315434472007</v>
      </c>
      <c r="AG5" s="140">
        <f>'tab2 lvl'!AG5/'tab2 percent'!AG55</f>
        <v>0.54513780818814528</v>
      </c>
      <c r="AH5" s="140">
        <f>'tab2 lvl'!AH5/'tab2 percent'!AH55</f>
        <v>0.54353660325573072</v>
      </c>
      <c r="AI5" s="140">
        <f>'tab2 lvl'!AI5/'tab2 percent'!AI55</f>
        <v>0.57342285157183626</v>
      </c>
      <c r="AJ5" s="140">
        <f>'tab2 lvl'!AJ5/'tab2 percent'!AJ55</f>
        <v>0.55284204242441104</v>
      </c>
      <c r="AK5" s="140">
        <f>'tab2 lvl'!AK5/'tab2 percent'!AK55</f>
        <v>0.55726815342179781</v>
      </c>
      <c r="AL5" s="140">
        <f>'tab2 lvl'!AL5/'tab2 percent'!AL55</f>
        <v>0.54026780500789173</v>
      </c>
      <c r="AM5" s="140">
        <f>'tab2 lvl'!AM5/'tab2 percent'!AM55</f>
        <v>0.52731694348454361</v>
      </c>
      <c r="AN5" s="140">
        <f>'tab2 lvl'!AN5/'tab2 percent'!AN55</f>
        <v>0.5296174453150182</v>
      </c>
      <c r="AO5" s="140">
        <f>'tab2 lvl'!AO5/'tab2 percent'!AO55</f>
        <v>0.50488149497843349</v>
      </c>
      <c r="AP5" s="140">
        <f>'tab2 lvl'!AP5/'tab2 percent'!AP55</f>
        <v>0.51739957634404521</v>
      </c>
      <c r="AQ5" s="140">
        <f>'tab2 lvl'!AQ5/'tab2 percent'!AQ55</f>
        <v>0.52121999534689789</v>
      </c>
      <c r="AR5" s="140">
        <f>'tab2 lvl'!AR5/'tab2 percent'!AR55</f>
        <v>0.51239848544875521</v>
      </c>
      <c r="AS5" s="140">
        <f>'tab2 lvl'!AS5/'tab2 percent'!AS55</f>
        <v>0.49884261291921544</v>
      </c>
      <c r="AT5" s="140">
        <f>'tab2 lvl'!AT5/'tab2 percent'!AT55</f>
        <v>0.49694321170081024</v>
      </c>
      <c r="AU5" s="140">
        <f>'tab2 lvl'!AU5/'tab2 percent'!AU55</f>
        <v>0.49342679814056778</v>
      </c>
      <c r="AV5" s="140">
        <f>'tab2 lvl'!AV5/'tab2 percent'!AV55</f>
        <v>0.47835073500453856</v>
      </c>
      <c r="AW5" s="140">
        <f>'tab2 lvl'!AW5/'tab2 percent'!AW55</f>
        <v>0.4759781436745657</v>
      </c>
      <c r="AX5" s="140">
        <f>'tab2 lvl'!AX5/'tab2 percent'!AX55</f>
        <v>0.47065361071877576</v>
      </c>
      <c r="AY5" s="140">
        <f>'tab2 lvl'!AY5/'tab2 percent'!AY55</f>
        <v>0.47628182711921524</v>
      </c>
    </row>
    <row r="6" spans="1:52" ht="16.5">
      <c r="A6" s="6"/>
      <c r="B6" s="6"/>
      <c r="C6" s="1" t="s">
        <v>10</v>
      </c>
      <c r="D6" s="5"/>
      <c r="E6" s="141">
        <f>'tab2 lvl'!E6/'tab2 percent'!E55</f>
        <v>0.30533274485401746</v>
      </c>
      <c r="F6" s="141">
        <f>'tab2 lvl'!F6/'tab2 percent'!F55</f>
        <v>0.29710366980241987</v>
      </c>
      <c r="G6" s="141">
        <f>'tab2 lvl'!G6/'tab2 percent'!G55</f>
        <v>0.30695709158964846</v>
      </c>
      <c r="H6" s="141">
        <f>'tab2 lvl'!H6/'tab2 percent'!H55</f>
        <v>0.3073368102514728</v>
      </c>
      <c r="I6" s="141">
        <f>'tab2 lvl'!I6/'tab2 percent'!I55</f>
        <v>0.30579541509329933</v>
      </c>
      <c r="J6" s="141">
        <f>'tab2 lvl'!J6/'tab2 percent'!J55</f>
        <v>0.30384498827196088</v>
      </c>
      <c r="K6" s="141">
        <f>'tab2 lvl'!K6/'tab2 percent'!K55</f>
        <v>0.30531878592031936</v>
      </c>
      <c r="L6" s="141">
        <f>'tab2 lvl'!L6/'tab2 percent'!L55</f>
        <v>0.32163150552590197</v>
      </c>
      <c r="M6" s="141">
        <f>'tab2 lvl'!M6/'tab2 percent'!M55</f>
        <v>0.28564948307013616</v>
      </c>
      <c r="N6" s="141">
        <f>'tab2 lvl'!N6/'tab2 percent'!N55</f>
        <v>0.27729422392290493</v>
      </c>
      <c r="O6" s="141">
        <f>'tab2 lvl'!O6/'tab2 percent'!O55</f>
        <v>0.27155697251697652</v>
      </c>
      <c r="P6" s="141">
        <f>'tab2 lvl'!P6/'tab2 percent'!P55</f>
        <v>0.27518817786969613</v>
      </c>
      <c r="Q6" s="141">
        <f>'tab2 lvl'!Q6/'tab2 percent'!Q55</f>
        <v>0.2604162313676035</v>
      </c>
      <c r="R6" s="141">
        <f>'tab2 lvl'!R6/'tab2 percent'!R55</f>
        <v>0.24168978842421249</v>
      </c>
      <c r="S6" s="141">
        <f>'tab2 lvl'!S6/'tab2 percent'!S55</f>
        <v>0.24572178125292371</v>
      </c>
      <c r="T6" s="141">
        <f>'tab2 lvl'!T6/'tab2 percent'!T55</f>
        <v>0.24755625616913846</v>
      </c>
      <c r="U6" s="141">
        <f>'tab2 lvl'!U6/'tab2 percent'!U55</f>
        <v>0.23854948213790167</v>
      </c>
      <c r="V6" s="141">
        <f>'tab2 lvl'!V6/'tab2 percent'!V55</f>
        <v>0.24669099270639</v>
      </c>
      <c r="W6" s="141">
        <f>'tab2 lvl'!W6/'tab2 percent'!W55</f>
        <v>0.27354760443969878</v>
      </c>
      <c r="X6" s="141">
        <f>'tab2 lvl'!X6/'tab2 percent'!X55</f>
        <v>0.24133355341244281</v>
      </c>
      <c r="Y6" s="141">
        <f>'tab2 lvl'!Y6/'tab2 percent'!Y55</f>
        <v>0.23075482526319863</v>
      </c>
      <c r="Z6" s="141">
        <f>'tab2 lvl'!Z6/'tab2 percent'!Z55</f>
        <v>0.23081252004490108</v>
      </c>
      <c r="AA6" s="141">
        <f>'tab2 lvl'!AA6/'tab2 percent'!AA55</f>
        <v>0.2349014248012069</v>
      </c>
      <c r="AB6" s="141">
        <f>'tab2 lvl'!AB6/'tab2 percent'!AB55</f>
        <v>0.2390828458610755</v>
      </c>
      <c r="AC6" s="141">
        <f>'tab2 lvl'!AC6/'tab2 percent'!AC55</f>
        <v>0.22896949415502901</v>
      </c>
      <c r="AD6" s="141">
        <f>'tab2 lvl'!AD6/'tab2 percent'!AD55</f>
        <v>0.23055754586002453</v>
      </c>
      <c r="AE6" s="141">
        <f>'tab2 lvl'!AE6/'tab2 percent'!AE55</f>
        <v>0.23960657561131396</v>
      </c>
      <c r="AF6" s="141">
        <f>'tab2 lvl'!AF6/'tab2 percent'!AF55</f>
        <v>0.24549001311950608</v>
      </c>
      <c r="AG6" s="141">
        <f>'tab2 lvl'!AG6/'tab2 percent'!AG55</f>
        <v>0.25287933074368307</v>
      </c>
      <c r="AH6" s="141">
        <f>'tab2 lvl'!AH6/'tab2 percent'!AH55</f>
        <v>0.25585054593191531</v>
      </c>
      <c r="AI6" s="141">
        <f>'tab2 lvl'!AI6/'tab2 percent'!AI55</f>
        <v>0.28829248581678169</v>
      </c>
      <c r="AJ6" s="141">
        <f>'tab2 lvl'!AJ6/'tab2 percent'!AJ55</f>
        <v>0.28257801132670046</v>
      </c>
      <c r="AK6" s="141">
        <f>'tab2 lvl'!AK6/'tab2 percent'!AK55</f>
        <v>0.3205106655278373</v>
      </c>
      <c r="AL6" s="141">
        <f>'tab2 lvl'!AL6/'tab2 percent'!AL55</f>
        <v>0.31421666600517706</v>
      </c>
      <c r="AM6" s="141">
        <f>'tab2 lvl'!AM6/'tab2 percent'!AM55</f>
        <v>0.30854534885190926</v>
      </c>
      <c r="AN6" s="141">
        <f>'tab2 lvl'!AN6/'tab2 percent'!AN55</f>
        <v>0.32984350817652802</v>
      </c>
      <c r="AO6" s="141">
        <f>'tab2 lvl'!AO6/'tab2 percent'!AO55</f>
        <v>0.3184748163337292</v>
      </c>
      <c r="AP6" s="141">
        <f>'tab2 lvl'!AP6/'tab2 percent'!AP55</f>
        <v>0.3278201956617452</v>
      </c>
      <c r="AQ6" s="141">
        <f>'tab2 lvl'!AQ6/'tab2 percent'!AQ55</f>
        <v>0.33763138408934951</v>
      </c>
      <c r="AR6" s="141">
        <f>'tab2 lvl'!AR6/'tab2 percent'!AR55</f>
        <v>0.33210492661647528</v>
      </c>
      <c r="AS6" s="141">
        <f>'tab2 lvl'!AS6/'tab2 percent'!AS55</f>
        <v>0.32072961237904724</v>
      </c>
      <c r="AT6" s="141">
        <f>'tab2 lvl'!AT6/'tab2 percent'!AT55</f>
        <v>0.32760504220038039</v>
      </c>
      <c r="AU6" s="141">
        <f>'tab2 lvl'!AU6/'tab2 percent'!AU55</f>
        <v>0.32403298849632384</v>
      </c>
      <c r="AV6" s="141">
        <f>'tab2 lvl'!AV6/'tab2 percent'!AV55</f>
        <v>0.31791210051909174</v>
      </c>
      <c r="AW6" s="141">
        <f>'tab2 lvl'!AW6/'tab2 percent'!AW55</f>
        <v>0.31617545725052298</v>
      </c>
      <c r="AX6" s="141">
        <f>'tab2 lvl'!AX6/'tab2 percent'!AX55</f>
        <v>0.30972998801684348</v>
      </c>
      <c r="AY6" s="141">
        <f>'tab2 lvl'!AY6/'tab2 percent'!AY55</f>
        <v>0.31106330901110169</v>
      </c>
    </row>
    <row r="7" spans="1:52" ht="16.5">
      <c r="A7" s="6"/>
      <c r="B7" s="6"/>
      <c r="C7" s="5" t="s">
        <v>11</v>
      </c>
      <c r="D7" s="5"/>
      <c r="E7" s="141">
        <f>'tab2 lvl'!E7/'tab2 percent'!E55</f>
        <v>0.6563559016656848</v>
      </c>
      <c r="F7" s="141">
        <f>'tab2 lvl'!F7/'tab2 percent'!F55</f>
        <v>0.63634120759787527</v>
      </c>
      <c r="G7" s="141">
        <f>'tab2 lvl'!G7/'tab2 percent'!G55</f>
        <v>0.61974505596448182</v>
      </c>
      <c r="H7" s="141">
        <f>'tab2 lvl'!H7/'tab2 percent'!H55</f>
        <v>0.59664460773352257</v>
      </c>
      <c r="I7" s="141">
        <f>'tab2 lvl'!I7/'tab2 percent'!I55</f>
        <v>0.57439379896929932</v>
      </c>
      <c r="J7" s="141">
        <f>'tab2 lvl'!J7/'tab2 percent'!J55</f>
        <v>0.5720088482907737</v>
      </c>
      <c r="K7" s="141">
        <f>'tab2 lvl'!K7/'tab2 percent'!K55</f>
        <v>0.56632101176127836</v>
      </c>
      <c r="L7" s="141">
        <f>'tab2 lvl'!L7/'tab2 percent'!L55</f>
        <v>0.50183571048389941</v>
      </c>
      <c r="M7" s="141">
        <f>'tab2 lvl'!M7/'tab2 percent'!M55</f>
        <v>0.50009319711762701</v>
      </c>
      <c r="N7" s="141">
        <f>'tab2 lvl'!N7/'tab2 percent'!N55</f>
        <v>0.49688440148227575</v>
      </c>
      <c r="O7" s="141">
        <f>'tab2 lvl'!O7/'tab2 percent'!O55</f>
        <v>0.46159672500133542</v>
      </c>
      <c r="P7" s="141">
        <f>'tab2 lvl'!P7/'tab2 percent'!P55</f>
        <v>0.43520516908104995</v>
      </c>
      <c r="Q7" s="141">
        <f>'tab2 lvl'!Q7/'tab2 percent'!Q55</f>
        <v>0.43035017490960648</v>
      </c>
      <c r="R7" s="141">
        <f>'tab2 lvl'!R7/'tab2 percent'!R55</f>
        <v>0.39670465351344947</v>
      </c>
      <c r="S7" s="141">
        <f>'tab2 lvl'!S7/'tab2 percent'!S55</f>
        <v>0.37883900409447885</v>
      </c>
      <c r="T7" s="141">
        <f>'tab2 lvl'!T7/'tab2 percent'!T55</f>
        <v>0.33658103923911331</v>
      </c>
      <c r="U7" s="141">
        <f>'tab2 lvl'!U7/'tab2 percent'!U55</f>
        <v>0.34270564447032087</v>
      </c>
      <c r="V7" s="141">
        <f>'tab2 lvl'!V7/'tab2 percent'!V55</f>
        <v>0.33735918719657682</v>
      </c>
      <c r="W7" s="141">
        <f>'tab2 lvl'!W7/'tab2 percent'!W55</f>
        <v>0.31418898786199845</v>
      </c>
      <c r="X7" s="141">
        <f>'tab2 lvl'!X7/'tab2 percent'!X55</f>
        <v>0.34043886269894724</v>
      </c>
      <c r="Y7" s="141">
        <f>'tab2 lvl'!Y7/'tab2 percent'!Y55</f>
        <v>0.34026743921482355</v>
      </c>
      <c r="Z7" s="141">
        <f>'tab2 lvl'!Z7/'tab2 percent'!Z55</f>
        <v>0.34214300146229076</v>
      </c>
      <c r="AA7" s="141">
        <f>'tab2 lvl'!AA7/'tab2 percent'!AA55</f>
        <v>0.34268000166800044</v>
      </c>
      <c r="AB7" s="141">
        <f>'tab2 lvl'!AB7/'tab2 percent'!AB55</f>
        <v>0.34129111438629239</v>
      </c>
      <c r="AC7" s="141">
        <f>'tab2 lvl'!AC7/'tab2 percent'!AC55</f>
        <v>0.32696737440217682</v>
      </c>
      <c r="AD7" s="141">
        <f>'tab2 lvl'!AD7/'tab2 percent'!AD55</f>
        <v>0.32271357679587365</v>
      </c>
      <c r="AE7" s="141">
        <f>'tab2 lvl'!AE7/'tab2 percent'!AE55</f>
        <v>0.30482939918089441</v>
      </c>
      <c r="AF7" s="141">
        <f>'tab2 lvl'!AF7/'tab2 percent'!AF55</f>
        <v>0.28979314122521399</v>
      </c>
      <c r="AG7" s="141">
        <f>'tab2 lvl'!AG7/'tab2 percent'!AG55</f>
        <v>0.29225847744446215</v>
      </c>
      <c r="AH7" s="141">
        <f>'tab2 lvl'!AH7/'tab2 percent'!AH55</f>
        <v>0.28768605732381547</v>
      </c>
      <c r="AI7" s="141">
        <f>'tab2 lvl'!AI7/'tab2 percent'!AI55</f>
        <v>0.28513036575505457</v>
      </c>
      <c r="AJ7" s="141">
        <f>'tab2 lvl'!AJ7/'tab2 percent'!AJ55</f>
        <v>0.27026403109771058</v>
      </c>
      <c r="AK7" s="141">
        <f>'tab2 lvl'!AK7/'tab2 percent'!AK55</f>
        <v>0.23675748789396045</v>
      </c>
      <c r="AL7" s="141">
        <f>'tab2 lvl'!AL7/'tab2 percent'!AL55</f>
        <v>0.22605113900271459</v>
      </c>
      <c r="AM7" s="141">
        <f>'tab2 lvl'!AM7/'tab2 percent'!AM55</f>
        <v>0.21877159463263432</v>
      </c>
      <c r="AN7" s="141">
        <f>'tab2 lvl'!AN7/'tab2 percent'!AN55</f>
        <v>0.1997739371384902</v>
      </c>
      <c r="AO7" s="141">
        <f>'tab2 lvl'!AO7/'tab2 percent'!AO55</f>
        <v>0.18640667864470434</v>
      </c>
      <c r="AP7" s="141">
        <f>'tab2 lvl'!AP7/'tab2 percent'!AP55</f>
        <v>0.18957938068229993</v>
      </c>
      <c r="AQ7" s="141">
        <f>'tab2 lvl'!AQ7/'tab2 percent'!AQ55</f>
        <v>0.18358861125754844</v>
      </c>
      <c r="AR7" s="141">
        <f>'tab2 lvl'!AR7/'tab2 percent'!AR55</f>
        <v>0.18029355883227985</v>
      </c>
      <c r="AS7" s="141">
        <f>'tab2 lvl'!AS7/'tab2 percent'!AS55</f>
        <v>0.17811300054016821</v>
      </c>
      <c r="AT7" s="141">
        <f>'tab2 lvl'!AT7/'tab2 percent'!AT55</f>
        <v>0.1693381695004299</v>
      </c>
      <c r="AU7" s="141">
        <f>'tab2 lvl'!AU7/'tab2 percent'!AU55</f>
        <v>0.16939380964424394</v>
      </c>
      <c r="AV7" s="141">
        <f>'tab2 lvl'!AV7/'tab2 percent'!AV55</f>
        <v>0.16043863448544682</v>
      </c>
      <c r="AW7" s="141">
        <f>'tab2 lvl'!AW7/'tab2 percent'!AW55</f>
        <v>0.1598026864240428</v>
      </c>
      <c r="AX7" s="141">
        <f>'tab2 lvl'!AX7/'tab2 percent'!AX55</f>
        <v>0.16092362270193222</v>
      </c>
      <c r="AY7" s="141">
        <f>'tab2 lvl'!AY7/'tab2 percent'!AY55</f>
        <v>0.16521851810811358</v>
      </c>
    </row>
    <row r="8" spans="1:52" ht="16.5">
      <c r="A8" s="2"/>
      <c r="B8" s="2"/>
      <c r="C8" s="2"/>
      <c r="D8" s="2"/>
      <c r="E8" s="22"/>
      <c r="F8" s="22"/>
      <c r="G8" s="22"/>
      <c r="H8" s="22"/>
      <c r="I8" s="22"/>
      <c r="J8" s="22"/>
      <c r="K8" s="22"/>
      <c r="L8" s="22"/>
      <c r="M8" s="3"/>
      <c r="N8" s="3"/>
      <c r="O8" s="3"/>
      <c r="P8" s="3"/>
      <c r="Q8" s="96"/>
      <c r="R8" s="96"/>
      <c r="S8" s="96"/>
      <c r="T8" s="96"/>
      <c r="U8" s="96"/>
      <c r="V8" s="96"/>
      <c r="W8" s="96"/>
      <c r="X8" s="3"/>
      <c r="Y8" s="3"/>
      <c r="Z8" s="3"/>
      <c r="AA8" s="3"/>
      <c r="AB8" s="3"/>
      <c r="AC8" s="3"/>
      <c r="AD8" s="3"/>
      <c r="AE8" s="3"/>
      <c r="AF8" s="92"/>
      <c r="AG8" s="3"/>
      <c r="AH8" s="92"/>
      <c r="AI8" s="3"/>
      <c r="AJ8" s="3"/>
      <c r="AK8" s="3"/>
      <c r="AL8" s="3"/>
      <c r="AM8" s="3"/>
      <c r="AN8" s="3"/>
      <c r="AO8" s="4"/>
      <c r="AP8" s="4"/>
      <c r="AQ8" s="4"/>
      <c r="AR8" s="97"/>
      <c r="AS8" s="4"/>
      <c r="AU8" s="4"/>
      <c r="AV8" s="4"/>
      <c r="AW8" s="4"/>
      <c r="AX8" s="4"/>
      <c r="AY8" s="4"/>
    </row>
    <row r="9" spans="1:52" ht="16.5">
      <c r="A9" s="98" t="s">
        <v>12</v>
      </c>
      <c r="B9" s="99" t="s">
        <v>61</v>
      </c>
      <c r="C9" s="99"/>
      <c r="D9" s="99"/>
      <c r="E9" s="140">
        <f>'tab2 lvl'!E9/'tab2 percent'!E55</f>
        <v>0.29583718065449094</v>
      </c>
      <c r="F9" s="140">
        <f>'tab2 lvl'!F9/'tab2 percent'!F55</f>
        <v>0.28977771624709392</v>
      </c>
      <c r="G9" s="140">
        <f>'tab2 lvl'!G9/'tab2 percent'!G55</f>
        <v>0.2767838382109451</v>
      </c>
      <c r="H9" s="140">
        <f>'tab2 lvl'!H9/'tab2 percent'!H55</f>
        <v>0.26004431264140643</v>
      </c>
      <c r="I9" s="140">
        <f>'tab2 lvl'!I9/'tab2 percent'!I55</f>
        <v>0.27102872611189127</v>
      </c>
      <c r="J9" s="140">
        <f>'tab2 lvl'!J9/'tab2 percent'!J55</f>
        <v>0.27550397884386096</v>
      </c>
      <c r="K9" s="140">
        <f>'tab2 lvl'!K9/'tab2 percent'!K55</f>
        <v>0.26470957006251716</v>
      </c>
      <c r="L9" s="140">
        <f>'tab2 lvl'!L9/'tab2 percent'!L55</f>
        <v>0.18512967284575754</v>
      </c>
      <c r="M9" s="140">
        <f>'tab2 lvl'!M9/'tab2 percent'!M55</f>
        <v>0.18559539527210037</v>
      </c>
      <c r="N9" s="140">
        <f>'tab2 lvl'!N9/'tab2 percent'!N55</f>
        <v>0.17994456444822338</v>
      </c>
      <c r="O9" s="140">
        <f>'tab2 lvl'!O9/'tab2 percent'!O55</f>
        <v>0.18650276294992654</v>
      </c>
      <c r="P9" s="140">
        <f>'tab2 lvl'!P9/'tab2 percent'!P55</f>
        <v>0.21150287578512228</v>
      </c>
      <c r="Q9" s="140">
        <f>'tab2 lvl'!Q9/'tab2 percent'!Q55</f>
        <v>0.22342646489981746</v>
      </c>
      <c r="R9" s="140">
        <f>'tab2 lvl'!R9/'tab2 percent'!R55</f>
        <v>0.23645085308924182</v>
      </c>
      <c r="S9" s="140">
        <f>'tab2 lvl'!S9/'tab2 percent'!S55</f>
        <v>0.26031540225400873</v>
      </c>
      <c r="T9" s="140">
        <f>'tab2 lvl'!T9/'tab2 percent'!T55</f>
        <v>0.26733172574372299</v>
      </c>
      <c r="U9" s="140">
        <f>'tab2 lvl'!U9/'tab2 percent'!U55</f>
        <v>0.28568268004834857</v>
      </c>
      <c r="V9" s="140">
        <f>'tab2 lvl'!V9/'tab2 percent'!V55</f>
        <v>0.28424861842676319</v>
      </c>
      <c r="W9" s="140">
        <f>'tab2 lvl'!W9/'tab2 percent'!W55</f>
        <v>0.263701904208203</v>
      </c>
      <c r="X9" s="140">
        <f>'tab2 lvl'!X9/'tab2 percent'!X55</f>
        <v>0.25654499221140326</v>
      </c>
      <c r="Y9" s="140">
        <f>'tab2 lvl'!Y9/'tab2 percent'!Y55</f>
        <v>0.26595536418478943</v>
      </c>
      <c r="Z9" s="140">
        <f>'tab2 lvl'!Z9/'tab2 percent'!Z55</f>
        <v>0.27188987240000301</v>
      </c>
      <c r="AA9" s="140">
        <f>'tab2 lvl'!AA9/'tab2 percent'!AA55</f>
        <v>0.26857873790127246</v>
      </c>
      <c r="AB9" s="140">
        <f>'tab2 lvl'!AB9/'tab2 percent'!AB55</f>
        <v>0.27464698797417386</v>
      </c>
      <c r="AC9" s="140">
        <f>'tab2 lvl'!AC9/'tab2 percent'!AC55</f>
        <v>0.2803046154329939</v>
      </c>
      <c r="AD9" s="140">
        <f>'tab2 lvl'!AD9/'tab2 percent'!AD55</f>
        <v>0.27551808074897605</v>
      </c>
      <c r="AE9" s="140">
        <f>'tab2 lvl'!AE9/'tab2 percent'!AE55</f>
        <v>0.27961880109923942</v>
      </c>
      <c r="AF9" s="140">
        <f>'tab2 lvl'!AF9/'tab2 percent'!AF55</f>
        <v>0.33127823908088877</v>
      </c>
      <c r="AG9" s="140">
        <f>'tab2 lvl'!AG9/'tab2 percent'!AG55</f>
        <v>0.33637834728617172</v>
      </c>
      <c r="AH9" s="140">
        <f>'tab2 lvl'!AH9/'tab2 percent'!AH55</f>
        <v>0.3277007478471069</v>
      </c>
      <c r="AI9" s="140">
        <f>'tab2 lvl'!AI9/'tab2 percent'!AI55</f>
        <v>0.34805016342480771</v>
      </c>
      <c r="AJ9" s="140">
        <f>'tab2 lvl'!AJ9/'tab2 percent'!AJ55</f>
        <v>0.36748828866912575</v>
      </c>
      <c r="AK9" s="140">
        <f>'tab2 lvl'!AK9/'tab2 percent'!AK55</f>
        <v>0.33867206210532608</v>
      </c>
      <c r="AL9" s="140">
        <f>'tab2 lvl'!AL9/'tab2 percent'!AL55</f>
        <v>0.33774118802298408</v>
      </c>
      <c r="AM9" s="140">
        <f>'tab2 lvl'!AM9/'tab2 percent'!AM55</f>
        <v>0.35775835479670126</v>
      </c>
      <c r="AN9" s="140">
        <f>'tab2 lvl'!AN9/'tab2 percent'!AN55</f>
        <v>0.34660256058821204</v>
      </c>
      <c r="AO9" s="140">
        <f>'tab2 lvl'!AO9/'tab2 percent'!AO55</f>
        <v>0.36051069839687488</v>
      </c>
      <c r="AP9" s="140">
        <f>'tab2 lvl'!AP9/'tab2 percent'!AP55</f>
        <v>0.34350134335519822</v>
      </c>
      <c r="AQ9" s="140">
        <f>'tab2 lvl'!AQ9/'tab2 percent'!AQ55</f>
        <v>0.32919639442945026</v>
      </c>
      <c r="AR9" s="140">
        <f>'tab2 lvl'!AR9/'tab2 percent'!AR55</f>
        <v>0.33183855867026685</v>
      </c>
      <c r="AS9" s="140">
        <f>'tab2 lvl'!AS9/'tab2 percent'!AS55</f>
        <v>0.31348296908890444</v>
      </c>
      <c r="AT9" s="140">
        <f>'tab2 lvl'!AT9/'tab2 percent'!AT55</f>
        <v>0.3023139823987655</v>
      </c>
      <c r="AU9" s="140">
        <f>'tab2 lvl'!AU9/'tab2 percent'!AU55</f>
        <v>0.29162873103492259</v>
      </c>
      <c r="AV9" s="140">
        <f>'tab2 lvl'!AV9/'tab2 percent'!AV55</f>
        <v>0.2921569310630231</v>
      </c>
      <c r="AW9" s="140">
        <f>'tab2 lvl'!AW9/'tab2 percent'!AW55</f>
        <v>0.28686952784804343</v>
      </c>
      <c r="AX9" s="140">
        <f>'tab2 lvl'!AX9/'tab2 percent'!AX55</f>
        <v>0.2827072009465309</v>
      </c>
      <c r="AY9" s="140">
        <f>'tab2 lvl'!AY9/'tab2 percent'!AY55</f>
        <v>0.28214475583974974</v>
      </c>
    </row>
    <row r="10" spans="1:52" ht="16.5">
      <c r="A10" s="2"/>
      <c r="B10" s="2"/>
      <c r="C10" s="2" t="s">
        <v>10</v>
      </c>
      <c r="D10" s="2"/>
      <c r="E10" s="118">
        <f>'tab2 lvl'!E10/'tab2 percent'!E55</f>
        <v>0.16457822291253818</v>
      </c>
      <c r="F10" s="118">
        <f>'tab2 lvl'!F10/'tab2 percent'!F55</f>
        <v>0.16071315725579799</v>
      </c>
      <c r="G10" s="118">
        <f>'tab2 lvl'!G10/'tab2 percent'!G55</f>
        <v>0.16191359309271153</v>
      </c>
      <c r="H10" s="118">
        <f>'tab2 lvl'!H10/'tab2 percent'!H55</f>
        <v>0.1555961554047654</v>
      </c>
      <c r="I10" s="118">
        <f>'tab2 lvl'!I10/'tab2 percent'!I55</f>
        <v>0.17605638233717952</v>
      </c>
      <c r="J10" s="118">
        <f>'tab2 lvl'!J10/'tab2 percent'!J55</f>
        <v>0.18041163424267551</v>
      </c>
      <c r="K10" s="118">
        <f>'tab2 lvl'!K10/'tab2 percent'!K55</f>
        <v>0.17123773900514722</v>
      </c>
      <c r="L10" s="118">
        <f>'tab2 lvl'!L10/'tab2 percent'!L55</f>
        <v>0.10759191581172117</v>
      </c>
      <c r="M10" s="118">
        <f>'tab2 lvl'!M10/'tab2 percent'!M55</f>
        <v>0.11340261571723505</v>
      </c>
      <c r="N10" s="118">
        <f>'tab2 lvl'!N10/'tab2 percent'!N55</f>
        <v>0.1156534536395631</v>
      </c>
      <c r="O10" s="118">
        <f>'tab2 lvl'!O10/'tab2 percent'!O55</f>
        <v>0.12810269801250243</v>
      </c>
      <c r="P10" s="118">
        <f>'tab2 lvl'!P10/'tab2 percent'!P55</f>
        <v>0.1635849477217681</v>
      </c>
      <c r="Q10" s="118">
        <f>'tab2 lvl'!Q10/'tab2 percent'!Q55</f>
        <v>0.18275320212931023</v>
      </c>
      <c r="R10" s="118">
        <f>'tab2 lvl'!R10/'tab2 percent'!R55</f>
        <v>0.19461055508578701</v>
      </c>
      <c r="S10" s="118">
        <f>'tab2 lvl'!S10/'tab2 percent'!S55</f>
        <v>0.2217865477087386</v>
      </c>
      <c r="T10" s="118">
        <f>'tab2 lvl'!T10/'tab2 percent'!T55</f>
        <v>0.23080159489989513</v>
      </c>
      <c r="U10" s="118">
        <f>'tab2 lvl'!U10/'tab2 percent'!U55</f>
        <v>0.24843209186507734</v>
      </c>
      <c r="V10" s="118">
        <f>'tab2 lvl'!V10/'tab2 percent'!V55</f>
        <v>0.24521764170167387</v>
      </c>
      <c r="W10" s="118">
        <f>'tab2 lvl'!W10/'tab2 percent'!W55</f>
        <v>0.22246441500111092</v>
      </c>
      <c r="X10" s="118">
        <f>'tab2 lvl'!X10/'tab2 percent'!X55</f>
        <v>0.21389467009234542</v>
      </c>
      <c r="Y10" s="118">
        <f>'tab2 lvl'!Y10/'tab2 percent'!Y55</f>
        <v>0.22118455956602762</v>
      </c>
      <c r="Z10" s="118">
        <f>'tab2 lvl'!Z10/'tab2 percent'!Z55</f>
        <v>0.23080134648639297</v>
      </c>
      <c r="AA10" s="118">
        <f>'tab2 lvl'!AA10/'tab2 percent'!AA55</f>
        <v>0.23026377363150211</v>
      </c>
      <c r="AB10" s="118">
        <f>'tab2 lvl'!AB10/'tab2 percent'!AB55</f>
        <v>0.23843968391791673</v>
      </c>
      <c r="AC10" s="118">
        <f>'tab2 lvl'!AC10/'tab2 percent'!AC55</f>
        <v>0.24437835399298269</v>
      </c>
      <c r="AD10" s="118">
        <f>'tab2 lvl'!AD10/'tab2 percent'!AD55</f>
        <v>0.24520280866003513</v>
      </c>
      <c r="AE10" s="118">
        <f>'tab2 lvl'!AE10/'tab2 percent'!AE55</f>
        <v>0.25155182047276414</v>
      </c>
      <c r="AF10" s="118">
        <f>'tab2 lvl'!AF10/'tab2 percent'!AF55</f>
        <v>0.30269462474509862</v>
      </c>
      <c r="AG10" s="118">
        <f>'tab2 lvl'!AG10/'tab2 percent'!AG55</f>
        <v>0.31143186437934606</v>
      </c>
      <c r="AH10" s="118">
        <f>'tab2 lvl'!AH10/'tab2 percent'!AH55</f>
        <v>0.30367147776090581</v>
      </c>
      <c r="AI10" s="118">
        <f>'tab2 lvl'!AI10/'tab2 percent'!AI55</f>
        <v>0.3241623089868208</v>
      </c>
      <c r="AJ10" s="118">
        <f>'tab2 lvl'!AJ10/'tab2 percent'!AJ55</f>
        <v>0.34252406154589049</v>
      </c>
      <c r="AK10" s="118">
        <f>'tab2 lvl'!AK10/'tab2 percent'!AK55</f>
        <v>0.32079993515516159</v>
      </c>
      <c r="AL10" s="118">
        <f>'tab2 lvl'!AL10/'tab2 percent'!AL55</f>
        <v>0.31860234668462112</v>
      </c>
      <c r="AM10" s="118">
        <f>'tab2 lvl'!AM10/'tab2 percent'!AM55</f>
        <v>0.33638281350541299</v>
      </c>
      <c r="AN10" s="118">
        <f>'tab2 lvl'!AN10/'tab2 percent'!AN55</f>
        <v>0.32602447626376407</v>
      </c>
      <c r="AO10" s="118">
        <f>'tab2 lvl'!AO10/'tab2 percent'!AO55</f>
        <v>0.34213053402728677</v>
      </c>
      <c r="AP10" s="118">
        <f>'tab2 lvl'!AP10/'tab2 percent'!AP55</f>
        <v>0.32627854754609609</v>
      </c>
      <c r="AQ10" s="118">
        <f>'tab2 lvl'!AQ10/'tab2 percent'!AQ55</f>
        <v>0.31210799923788435</v>
      </c>
      <c r="AR10" s="118">
        <f>'tab2 lvl'!AR10/'tab2 percent'!AR55</f>
        <v>0.31525583493599102</v>
      </c>
      <c r="AS10" s="118">
        <f>'tab2 lvl'!AS10/'tab2 percent'!AS55</f>
        <v>0.2974810588993772</v>
      </c>
      <c r="AT10" s="118">
        <f>'tab2 lvl'!AT10/'tab2 percent'!AT55</f>
        <v>0.28734273630453577</v>
      </c>
      <c r="AU10" s="118">
        <f>'tab2 lvl'!AU10/'tab2 percent'!AU55</f>
        <v>0.27773568170987883</v>
      </c>
      <c r="AV10" s="118">
        <f>'tab2 lvl'!AV10/'tab2 percent'!AV55</f>
        <v>0.27816627350282408</v>
      </c>
      <c r="AW10" s="118">
        <f>'tab2 lvl'!AW10/'tab2 percent'!AW55</f>
        <v>0.2735109588628919</v>
      </c>
      <c r="AX10" s="118">
        <f>'tab2 lvl'!AX10/'tab2 percent'!AX55</f>
        <v>0.26937594059192116</v>
      </c>
      <c r="AY10" s="118">
        <f>'tab2 lvl'!AY10/'tab2 percent'!AY55</f>
        <v>0.26792827414308529</v>
      </c>
    </row>
    <row r="11" spans="1:52" ht="16.5">
      <c r="A11" s="2"/>
      <c r="B11" s="2"/>
      <c r="C11" s="2" t="s">
        <v>11</v>
      </c>
      <c r="D11" s="2"/>
      <c r="E11" s="118">
        <f>'tab2 lvl'!E11/'tab2 percent'!E55</f>
        <v>0.13125895774195276</v>
      </c>
      <c r="F11" s="118">
        <f>'tab2 lvl'!F11/'tab2 percent'!F55</f>
        <v>0.1290645589912959</v>
      </c>
      <c r="G11" s="118">
        <f>'tab2 lvl'!G11/'tab2 percent'!G55</f>
        <v>0.11487024511823359</v>
      </c>
      <c r="H11" s="118">
        <f>'tab2 lvl'!H11/'tab2 percent'!H55</f>
        <v>0.10444815723664101</v>
      </c>
      <c r="I11" s="118">
        <f>'tab2 lvl'!I11/'tab2 percent'!I55</f>
        <v>9.4972343774711795E-2</v>
      </c>
      <c r="J11" s="118">
        <f>'tab2 lvl'!J11/'tab2 percent'!J55</f>
        <v>9.5092344601185472E-2</v>
      </c>
      <c r="K11" s="118">
        <f>'tab2 lvl'!K11/'tab2 percent'!K55</f>
        <v>9.3471831057369947E-2</v>
      </c>
      <c r="L11" s="118">
        <f>'tab2 lvl'!L11/'tab2 percent'!L55</f>
        <v>7.753775703403637E-2</v>
      </c>
      <c r="M11" s="118">
        <f>'tab2 lvl'!M11/'tab2 percent'!M55</f>
        <v>7.2192779554865319E-2</v>
      </c>
      <c r="N11" s="118">
        <f>'tab2 lvl'!N11/'tab2 percent'!N55</f>
        <v>6.4291110808660304E-2</v>
      </c>
      <c r="O11" s="118">
        <f>'tab2 lvl'!O11/'tab2 percent'!O55</f>
        <v>5.8400064937424091E-2</v>
      </c>
      <c r="P11" s="118">
        <f>'tab2 lvl'!P11/'tab2 percent'!P55</f>
        <v>4.7917928063354182E-2</v>
      </c>
      <c r="Q11" s="118">
        <f>'tab2 lvl'!Q11/'tab2 percent'!Q55</f>
        <v>4.0673262770507222E-2</v>
      </c>
      <c r="R11" s="118">
        <f>'tab2 lvl'!R11/'tab2 percent'!R55</f>
        <v>4.1840298003454797E-2</v>
      </c>
      <c r="S11" s="118">
        <f>'tab2 lvl'!S11/'tab2 percent'!S55</f>
        <v>3.8528854545270171E-2</v>
      </c>
      <c r="T11" s="118">
        <f>'tab2 lvl'!T11/'tab2 percent'!T55</f>
        <v>3.6530130843827863E-2</v>
      </c>
      <c r="U11" s="118">
        <f>'tab2 lvl'!U11/'tab2 percent'!U55</f>
        <v>3.7250588183271184E-2</v>
      </c>
      <c r="V11" s="118">
        <f>'tab2 lvl'!V11/'tab2 percent'!V55</f>
        <v>3.9030976725089317E-2</v>
      </c>
      <c r="W11" s="118">
        <f>'tab2 lvl'!W11/'tab2 percent'!W55</f>
        <v>4.1237489207092116E-2</v>
      </c>
      <c r="X11" s="118">
        <f>'tab2 lvl'!X11/'tab2 percent'!X55</f>
        <v>4.265032211905783E-2</v>
      </c>
      <c r="Y11" s="118">
        <f>'tab2 lvl'!Y11/'tab2 percent'!Y55</f>
        <v>4.4770804618761768E-2</v>
      </c>
      <c r="Z11" s="118">
        <f>'tab2 lvl'!Z11/'tab2 percent'!Z55</f>
        <v>4.1088525913610036E-2</v>
      </c>
      <c r="AA11" s="118">
        <f>'tab2 lvl'!AA11/'tab2 percent'!AA55</f>
        <v>3.8314964269770352E-2</v>
      </c>
      <c r="AB11" s="118">
        <f>'tab2 lvl'!AB11/'tab2 percent'!AB55</f>
        <v>3.6207304056257161E-2</v>
      </c>
      <c r="AC11" s="118">
        <f>'tab2 lvl'!AC11/'tab2 percent'!AC55</f>
        <v>3.592626144001123E-2</v>
      </c>
      <c r="AD11" s="118">
        <f>'tab2 lvl'!AD11/'tab2 percent'!AD55</f>
        <v>3.0315272088940901E-2</v>
      </c>
      <c r="AE11" s="118">
        <f>'tab2 lvl'!AE11/'tab2 percent'!AE55</f>
        <v>2.8066980626475248E-2</v>
      </c>
      <c r="AF11" s="118">
        <f>'tab2 lvl'!AF11/'tab2 percent'!AF55</f>
        <v>2.858361433579016E-2</v>
      </c>
      <c r="AG11" s="118">
        <f>'tab2 lvl'!AG11/'tab2 percent'!AG55</f>
        <v>2.4946482906825683E-2</v>
      </c>
      <c r="AH11" s="118">
        <f>'tab2 lvl'!AH11/'tab2 percent'!AH55</f>
        <v>2.4029270086201079E-2</v>
      </c>
      <c r="AI11" s="118">
        <f>'tab2 lvl'!AI11/'tab2 percent'!AI55</f>
        <v>2.3887854437986886E-2</v>
      </c>
      <c r="AJ11" s="118">
        <f>'tab2 lvl'!AJ11/'tab2 percent'!AJ55</f>
        <v>2.4964227123235264E-2</v>
      </c>
      <c r="AK11" s="118">
        <f>'tab2 lvl'!AK11/'tab2 percent'!AK55</f>
        <v>1.7872126950164498E-2</v>
      </c>
      <c r="AL11" s="118">
        <f>'tab2 lvl'!AL11/'tab2 percent'!AL55</f>
        <v>1.9138841338362928E-2</v>
      </c>
      <c r="AM11" s="118">
        <f>'tab2 lvl'!AM11/'tab2 percent'!AM55</f>
        <v>2.1375541291288234E-2</v>
      </c>
      <c r="AN11" s="118">
        <f>'tab2 lvl'!AN11/'tab2 percent'!AN55</f>
        <v>2.0578084324447979E-2</v>
      </c>
      <c r="AO11" s="118">
        <f>'tab2 lvl'!AO11/'tab2 percent'!AO55</f>
        <v>1.8380164369588146E-2</v>
      </c>
      <c r="AP11" s="118">
        <f>'tab2 lvl'!AP11/'tab2 percent'!AP55</f>
        <v>1.7222795809102135E-2</v>
      </c>
      <c r="AQ11" s="118">
        <f>'tab2 lvl'!AQ11/'tab2 percent'!AQ55</f>
        <v>1.7088395191565915E-2</v>
      </c>
      <c r="AR11" s="118">
        <f>'tab2 lvl'!AR11/'tab2 percent'!AR55</f>
        <v>1.6582723734275859E-2</v>
      </c>
      <c r="AS11" s="118">
        <f>'tab2 lvl'!AS11/'tab2 percent'!AS55</f>
        <v>1.6001910189527256E-2</v>
      </c>
      <c r="AT11" s="118">
        <f>'tab2 lvl'!AT11/'tab2 percent'!AT55</f>
        <v>1.4971246094229732E-2</v>
      </c>
      <c r="AU11" s="118">
        <f>'tab2 lvl'!AU11/'tab2 percent'!AU55</f>
        <v>1.3893049325043779E-2</v>
      </c>
      <c r="AV11" s="118">
        <f>'tab2 lvl'!AV11/'tab2 percent'!AV55</f>
        <v>1.3990657560198991E-2</v>
      </c>
      <c r="AW11" s="118">
        <f>'tab2 lvl'!AW11/'tab2 percent'!AW55</f>
        <v>1.3358568985151517E-2</v>
      </c>
      <c r="AX11" s="118">
        <f>'tab2 lvl'!AX11/'tab2 percent'!AX55</f>
        <v>1.3331260354609709E-2</v>
      </c>
      <c r="AY11" s="118">
        <f>'tab2 lvl'!AY11/'tab2 percent'!AY55</f>
        <v>1.4216481696664462E-2</v>
      </c>
    </row>
    <row r="12" spans="1:52" ht="16.5">
      <c r="A12" s="2"/>
      <c r="B12" s="2"/>
      <c r="C12" s="2"/>
      <c r="D12" s="2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</row>
    <row r="13" spans="1:52" ht="16.5">
      <c r="A13" s="40"/>
      <c r="B13" s="40"/>
      <c r="C13" s="100" t="s">
        <v>62</v>
      </c>
      <c r="D13" s="40" t="s">
        <v>63</v>
      </c>
      <c r="E13" s="131">
        <f>'tab2 lvl'!E13/'tab2 percent'!E55</f>
        <v>0.21019120561298268</v>
      </c>
      <c r="F13" s="131">
        <f>'tab2 lvl'!F13/'tab2 percent'!F55</f>
        <v>0.20631279871484021</v>
      </c>
      <c r="G13" s="131">
        <f>'tab2 lvl'!G13/'tab2 percent'!G55</f>
        <v>0.19801372665337585</v>
      </c>
      <c r="H13" s="131">
        <f>'tab2 lvl'!H13/'tab2 percent'!H55</f>
        <v>0.18110570683936031</v>
      </c>
      <c r="I13" s="131">
        <f>'tab2 lvl'!I13/'tab2 percent'!I55</f>
        <v>0.19392648574110921</v>
      </c>
      <c r="J13" s="131">
        <f>'tab2 lvl'!J13/'tab2 percent'!J55</f>
        <v>0.19919654497257641</v>
      </c>
      <c r="K13" s="131">
        <f>'tab2 lvl'!K13/'tab2 percent'!K55</f>
        <v>0.18436789289902317</v>
      </c>
      <c r="L13" s="131">
        <f>'tab2 lvl'!L13/'tab2 percent'!L55</f>
        <v>0.15724891021971732</v>
      </c>
      <c r="M13" s="131">
        <f>'tab2 lvl'!M13/'tab2 percent'!M55</f>
        <v>0.15802748089087354</v>
      </c>
      <c r="N13" s="131">
        <f>'tab2 lvl'!N13/'tab2 percent'!N55</f>
        <v>0.15202338759535361</v>
      </c>
      <c r="O13" s="131">
        <f>'tab2 lvl'!O13/'tab2 percent'!O55</f>
        <v>0.16180350603175062</v>
      </c>
      <c r="P13" s="131">
        <f>'tab2 lvl'!P13/'tab2 percent'!P55</f>
        <v>0.18728601436704581</v>
      </c>
      <c r="Q13" s="131">
        <f>'tab2 lvl'!Q13/'tab2 percent'!Q55</f>
        <v>0.20069601258529621</v>
      </c>
      <c r="R13" s="131">
        <f>'tab2 lvl'!R13/'tab2 percent'!R55</f>
        <v>0.21022355131034984</v>
      </c>
      <c r="S13" s="131">
        <f>'tab2 lvl'!S13/'tab2 percent'!S55</f>
        <v>0.23291105714597607</v>
      </c>
      <c r="T13" s="131">
        <f>'tab2 lvl'!T13/'tab2 percent'!T55</f>
        <v>0.2419218767160313</v>
      </c>
      <c r="U13" s="131">
        <f>'tab2 lvl'!U13/'tab2 percent'!U55</f>
        <v>0.25446826625596092</v>
      </c>
      <c r="V13" s="131">
        <f>'tab2 lvl'!V13/'tab2 percent'!V55</f>
        <v>0.24943545287082033</v>
      </c>
      <c r="W13" s="131">
        <f>'tab2 lvl'!W13/'tab2 percent'!W55</f>
        <v>0.24162809601796578</v>
      </c>
      <c r="X13" s="131">
        <f>'tab2 lvl'!X13/'tab2 percent'!X55</f>
        <v>0.23353485984735206</v>
      </c>
      <c r="Y13" s="131">
        <f>'tab2 lvl'!Y13/'tab2 percent'!Y55</f>
        <v>0.24453811102859627</v>
      </c>
      <c r="Z13" s="131">
        <f>'tab2 lvl'!Z13/'tab2 percent'!Z55</f>
        <v>0.24929265743979998</v>
      </c>
      <c r="AA13" s="131">
        <f>'tab2 lvl'!AA13/'tab2 percent'!AA55</f>
        <v>0.24706258568447845</v>
      </c>
      <c r="AB13" s="131">
        <f>'tab2 lvl'!AB13/'tab2 percent'!AB55</f>
        <v>0.25274780177726708</v>
      </c>
      <c r="AC13" s="131">
        <f>'tab2 lvl'!AC13/'tab2 percent'!AC55</f>
        <v>0.25746571473839913</v>
      </c>
      <c r="AD13" s="131">
        <f>'tab2 lvl'!AD13/'tab2 percent'!AD55</f>
        <v>0.2565394967817437</v>
      </c>
      <c r="AE13" s="131">
        <f>'tab2 lvl'!AE13/'tab2 percent'!AE55</f>
        <v>0.26210930818614092</v>
      </c>
      <c r="AF13" s="131">
        <f>'tab2 lvl'!AF13/'tab2 percent'!AF55</f>
        <v>0.30970358128190439</v>
      </c>
      <c r="AG13" s="131">
        <f>'tab2 lvl'!AG13/'tab2 percent'!AG55</f>
        <v>0.31784581503499687</v>
      </c>
      <c r="AH13" s="131">
        <f>'tab2 lvl'!AH13/'tab2 percent'!AH55</f>
        <v>0.30933889171986489</v>
      </c>
      <c r="AI13" s="131">
        <f>'tab2 lvl'!AI13/'tab2 percent'!AI55</f>
        <v>0.32929526451338931</v>
      </c>
      <c r="AJ13" s="131">
        <f>'tab2 lvl'!AJ13/'tab2 percent'!AJ55</f>
        <v>0.34867984029802024</v>
      </c>
      <c r="AK13" s="131">
        <f>'tab2 lvl'!AK13/'tab2 percent'!AK55</f>
        <v>0.32400257800733873</v>
      </c>
      <c r="AL13" s="131">
        <f>'tab2 lvl'!AL13/'tab2 percent'!AL55</f>
        <v>0.32337279938768326</v>
      </c>
      <c r="AM13" s="131">
        <f>'tab2 lvl'!AM13/'tab2 percent'!AM55</f>
        <v>0.34036349618317951</v>
      </c>
      <c r="AN13" s="131">
        <f>'tab2 lvl'!AN13/'tab2 percent'!AN55</f>
        <v>0.33300448467009408</v>
      </c>
      <c r="AO13" s="131">
        <f>'tab2 lvl'!AO13/'tab2 percent'!AO55</f>
        <v>0.3478700344271986</v>
      </c>
      <c r="AP13" s="131">
        <f>'tab2 lvl'!AP13/'tab2 percent'!AP55</f>
        <v>0.33111313757631089</v>
      </c>
      <c r="AQ13" s="131">
        <f>'tab2 lvl'!AQ13/'tab2 percent'!AQ55</f>
        <v>0.31687575251140609</v>
      </c>
      <c r="AR13" s="131">
        <f>'tab2 lvl'!AR13/'tab2 percent'!AR55</f>
        <v>0.31984218724089836</v>
      </c>
      <c r="AS13" s="131">
        <f>'tab2 lvl'!AS13/'tab2 percent'!AS55</f>
        <v>0.30208096277896601</v>
      </c>
      <c r="AT13" s="131">
        <f>'tab2 lvl'!AT13/'tab2 percent'!AT55</f>
        <v>0.29206892722338129</v>
      </c>
      <c r="AU13" s="131">
        <f>'tab2 lvl'!AU13/'tab2 percent'!AU55</f>
        <v>0.28243093452848811</v>
      </c>
      <c r="AV13" s="131">
        <f>'tab2 lvl'!AV13/'tab2 percent'!AV55</f>
        <v>0.28266112651565295</v>
      </c>
      <c r="AW13" s="131">
        <f>'tab2 lvl'!AW13/'tab2 percent'!AW55</f>
        <v>0.27839533539881639</v>
      </c>
      <c r="AX13" s="131">
        <f>'tab2 lvl'!AX13/'tab2 percent'!AX55</f>
        <v>0.27427876383314154</v>
      </c>
      <c r="AY13" s="131">
        <f>'tab2 lvl'!AY13/'tab2 percent'!AY55</f>
        <v>0.272400790170231</v>
      </c>
    </row>
    <row r="14" spans="1:52" ht="16.5">
      <c r="A14" s="2"/>
      <c r="B14" s="2"/>
      <c r="C14" s="42"/>
      <c r="D14" s="102" t="s">
        <v>10</v>
      </c>
      <c r="E14" s="118">
        <f>'tab2 lvl'!E14/'tab2 percent'!E55</f>
        <v>0.11362862192705264</v>
      </c>
      <c r="F14" s="118">
        <f>'tab2 lvl'!F14/'tab2 percent'!F55</f>
        <v>0.11155138809896795</v>
      </c>
      <c r="G14" s="118">
        <f>'tab2 lvl'!G14/'tab2 percent'!G55</f>
        <v>0.11429458392028102</v>
      </c>
      <c r="H14" s="118">
        <f>'tab2 lvl'!H14/'tab2 percent'!H55</f>
        <v>0.1074752438025285</v>
      </c>
      <c r="I14" s="118">
        <f>'tab2 lvl'!I14/'tab2 percent'!I55</f>
        <v>0.12905793317672953</v>
      </c>
      <c r="J14" s="118">
        <f>'tab2 lvl'!J14/'tab2 percent'!J55</f>
        <v>0.13617296524958608</v>
      </c>
      <c r="K14" s="118">
        <f>'tab2 lvl'!K14/'tab2 percent'!K55</f>
        <v>0.1238909479903347</v>
      </c>
      <c r="L14" s="118">
        <f>'tab2 lvl'!L14/'tab2 percent'!L55</f>
        <v>0.10639425828893487</v>
      </c>
      <c r="M14" s="118">
        <f>'tab2 lvl'!M14/'tab2 percent'!M55</f>
        <v>0.11186211082297805</v>
      </c>
      <c r="N14" s="118">
        <f>'tab2 lvl'!N14/'tab2 percent'!N55</f>
        <v>0.11417239328271242</v>
      </c>
      <c r="O14" s="118">
        <f>'tab2 lvl'!O14/'tab2 percent'!O55</f>
        <v>0.12702728975608862</v>
      </c>
      <c r="P14" s="118">
        <f>'tab2 lvl'!P14/'tab2 percent'!P55</f>
        <v>0.16177238107736738</v>
      </c>
      <c r="Q14" s="118">
        <f>'tab2 lvl'!Q14/'tab2 percent'!Q55</f>
        <v>0.18074660727425876</v>
      </c>
      <c r="R14" s="118">
        <f>'tab2 lvl'!R14/'tab2 percent'!R55</f>
        <v>0.19297389287794645</v>
      </c>
      <c r="S14" s="118">
        <f>'tab2 lvl'!S14/'tab2 percent'!S55</f>
        <v>0.2173269839792745</v>
      </c>
      <c r="T14" s="118">
        <f>'tab2 lvl'!T14/'tab2 percent'!T55</f>
        <v>0.2247153192476527</v>
      </c>
      <c r="U14" s="118">
        <f>'tab2 lvl'!U14/'tab2 percent'!U55</f>
        <v>0.23817387987112931</v>
      </c>
      <c r="V14" s="118">
        <f>'tab2 lvl'!V14/'tab2 percent'!V55</f>
        <v>0.23086567567232433</v>
      </c>
      <c r="W14" s="118">
        <f>'tab2 lvl'!W14/'tab2 percent'!W55</f>
        <v>0.22129951267276968</v>
      </c>
      <c r="X14" s="118">
        <f>'tab2 lvl'!X14/'tab2 percent'!X55</f>
        <v>0.21246219516033293</v>
      </c>
      <c r="Y14" s="118">
        <f>'tab2 lvl'!Y14/'tab2 percent'!Y55</f>
        <v>0.22029119838350505</v>
      </c>
      <c r="Z14" s="118">
        <f>'tab2 lvl'!Z14/'tab2 percent'!Z55</f>
        <v>0.2299794285388925</v>
      </c>
      <c r="AA14" s="118">
        <f>'tab2 lvl'!AA14/'tab2 percent'!AA55</f>
        <v>0.22944601521661348</v>
      </c>
      <c r="AB14" s="118">
        <f>'tab2 lvl'!AB14/'tab2 percent'!AB55</f>
        <v>0.23747396476738578</v>
      </c>
      <c r="AC14" s="118">
        <f>'tab2 lvl'!AC14/'tab2 percent'!AC55</f>
        <v>0.24349520387318535</v>
      </c>
      <c r="AD14" s="118">
        <f>'tab2 lvl'!AD14/'tab2 percent'!AD55</f>
        <v>0.24247162083089527</v>
      </c>
      <c r="AE14" s="118">
        <f>'tab2 lvl'!AE14/'tab2 percent'!AE55</f>
        <v>0.24990250521682611</v>
      </c>
      <c r="AF14" s="118">
        <f>'tab2 lvl'!AF14/'tab2 percent'!AF55</f>
        <v>0.30012062002692297</v>
      </c>
      <c r="AG14" s="118">
        <f>'tab2 lvl'!AG14/'tab2 percent'!AG55</f>
        <v>0.30923078077772653</v>
      </c>
      <c r="AH14" s="118">
        <f>'tab2 lvl'!AH14/'tab2 percent'!AH55</f>
        <v>0.30155015137896984</v>
      </c>
      <c r="AI14" s="118">
        <f>'tab2 lvl'!AI14/'tab2 percent'!AI55</f>
        <v>0.32206332561660495</v>
      </c>
      <c r="AJ14" s="118">
        <f>'tab2 lvl'!AJ14/'tab2 percent'!AJ55</f>
        <v>0.34038799451975943</v>
      </c>
      <c r="AK14" s="118">
        <f>'tab2 lvl'!AK14/'tab2 percent'!AK55</f>
        <v>0.31707587827668565</v>
      </c>
      <c r="AL14" s="118">
        <f>'tab2 lvl'!AL14/'tab2 percent'!AL55</f>
        <v>0.31492486178808854</v>
      </c>
      <c r="AM14" s="118">
        <f>'tab2 lvl'!AM14/'tab2 percent'!AM55</f>
        <v>0.3328389431191151</v>
      </c>
      <c r="AN14" s="118">
        <f>'tab2 lvl'!AN14/'tab2 percent'!AN55</f>
        <v>0.3252978930487187</v>
      </c>
      <c r="AO14" s="118">
        <f>'tab2 lvl'!AO14/'tab2 percent'!AO55</f>
        <v>0.34150111859416477</v>
      </c>
      <c r="AP14" s="118">
        <f>'tab2 lvl'!AP14/'tab2 percent'!AP55</f>
        <v>0.32576386250157263</v>
      </c>
      <c r="AQ14" s="118">
        <f>'tab2 lvl'!AQ14/'tab2 percent'!AQ55</f>
        <v>0.3116875041914135</v>
      </c>
      <c r="AR14" s="118">
        <f>'tab2 lvl'!AR14/'tab2 percent'!AR55</f>
        <v>0.31483711285615346</v>
      </c>
      <c r="AS14" s="118">
        <f>'tab2 lvl'!AS14/'tab2 percent'!AS55</f>
        <v>0.29711966295404973</v>
      </c>
      <c r="AT14" s="118">
        <f>'tab2 lvl'!AT14/'tab2 percent'!AT55</f>
        <v>0.28696516381275228</v>
      </c>
      <c r="AU14" s="118">
        <f>'tab2 lvl'!AU14/'tab2 percent'!AU55</f>
        <v>0.27736132846397998</v>
      </c>
      <c r="AV14" s="118">
        <f>'tab2 lvl'!AV14/'tab2 percent'!AV55</f>
        <v>0.27776107956379065</v>
      </c>
      <c r="AW14" s="118">
        <f>'tab2 lvl'!AW14/'tab2 percent'!AW55</f>
        <v>0.27318948572715496</v>
      </c>
      <c r="AX14" s="118">
        <f>'tab2 lvl'!AX14/'tab2 percent'!AX55</f>
        <v>0.26910955755543287</v>
      </c>
      <c r="AY14" s="118">
        <f>'tab2 lvl'!AY14/'tab2 percent'!AY55</f>
        <v>0.26756489827985758</v>
      </c>
    </row>
    <row r="15" spans="1:52" ht="16.5">
      <c r="A15" s="2"/>
      <c r="B15" s="2"/>
      <c r="C15" s="42"/>
      <c r="D15" s="102" t="s">
        <v>11</v>
      </c>
      <c r="E15" s="118">
        <f>'tab2 lvl'!E15/'tab2 percent'!E55</f>
        <v>9.6562583685930042E-2</v>
      </c>
      <c r="F15" s="118">
        <f>'tab2 lvl'!F15/'tab2 percent'!F55</f>
        <v>9.476141061587226E-2</v>
      </c>
      <c r="G15" s="118">
        <f>'tab2 lvl'!G15/'tab2 percent'!G55</f>
        <v>8.3719142733094845E-2</v>
      </c>
      <c r="H15" s="118">
        <f>'tab2 lvl'!H15/'tab2 percent'!H55</f>
        <v>7.3630463036831822E-2</v>
      </c>
      <c r="I15" s="118">
        <f>'tab2 lvl'!I15/'tab2 percent'!I55</f>
        <v>6.4868552564379678E-2</v>
      </c>
      <c r="J15" s="118">
        <f>'tab2 lvl'!J15/'tab2 percent'!J55</f>
        <v>6.3023579722990331E-2</v>
      </c>
      <c r="K15" s="118">
        <f>'tab2 lvl'!K15/'tab2 percent'!K55</f>
        <v>6.0476944908688469E-2</v>
      </c>
      <c r="L15" s="118">
        <f>'tab2 lvl'!L15/'tab2 percent'!L55</f>
        <v>5.0854651930782445E-2</v>
      </c>
      <c r="M15" s="118">
        <f>'tab2 lvl'!M15/'tab2 percent'!M55</f>
        <v>4.6165370067895499E-2</v>
      </c>
      <c r="N15" s="118">
        <f>'tab2 lvl'!N15/'tab2 percent'!N55</f>
        <v>3.7850994312641176E-2</v>
      </c>
      <c r="O15" s="118">
        <f>'tab2 lvl'!O15/'tab2 percent'!O55</f>
        <v>3.4776216275661985E-2</v>
      </c>
      <c r="P15" s="118">
        <f>'tab2 lvl'!P15/'tab2 percent'!P55</f>
        <v>2.5513633289678442E-2</v>
      </c>
      <c r="Q15" s="118">
        <f>'tab2 lvl'!Q15/'tab2 percent'!Q55</f>
        <v>1.9949405311037456E-2</v>
      </c>
      <c r="R15" s="118">
        <f>'tab2 lvl'!R15/'tab2 percent'!R55</f>
        <v>1.7249658432403416E-2</v>
      </c>
      <c r="S15" s="118">
        <f>'tab2 lvl'!S15/'tab2 percent'!S55</f>
        <v>1.5584073166701563E-2</v>
      </c>
      <c r="T15" s="118">
        <f>'tab2 lvl'!T15/'tab2 percent'!T55</f>
        <v>1.7206557468378597E-2</v>
      </c>
      <c r="U15" s="118">
        <f>'tab2 lvl'!U15/'tab2 percent'!U55</f>
        <v>1.6294386384831605E-2</v>
      </c>
      <c r="V15" s="118">
        <f>'tab2 lvl'!V15/'tab2 percent'!V55</f>
        <v>1.856977719849601E-2</v>
      </c>
      <c r="W15" s="118">
        <f>'tab2 lvl'!W15/'tab2 percent'!W55</f>
        <v>2.0328583345196109E-2</v>
      </c>
      <c r="X15" s="118">
        <f>'tab2 lvl'!X15/'tab2 percent'!X55</f>
        <v>2.1072664687019124E-2</v>
      </c>
      <c r="Y15" s="118">
        <f>'tab2 lvl'!Y15/'tab2 percent'!Y55</f>
        <v>2.4246912645091222E-2</v>
      </c>
      <c r="Z15" s="118">
        <f>'tab2 lvl'!Z15/'tab2 percent'!Z55</f>
        <v>1.9313228900907479E-2</v>
      </c>
      <c r="AA15" s="118">
        <f>'tab2 lvl'!AA15/'tab2 percent'!AA55</f>
        <v>1.7616570467864957E-2</v>
      </c>
      <c r="AB15" s="118">
        <f>'tab2 lvl'!AB15/'tab2 percent'!AB55</f>
        <v>1.5273837009881334E-2</v>
      </c>
      <c r="AC15" s="118">
        <f>'tab2 lvl'!AC15/'tab2 percent'!AC55</f>
        <v>1.3970510865213779E-2</v>
      </c>
      <c r="AD15" s="118">
        <f>'tab2 lvl'!AD15/'tab2 percent'!AD55</f>
        <v>1.4067875950848451E-2</v>
      </c>
      <c r="AE15" s="118">
        <f>'tab2 lvl'!AE15/'tab2 percent'!AE55</f>
        <v>1.22068029693148E-2</v>
      </c>
      <c r="AF15" s="118">
        <f>'tab2 lvl'!AF15/'tab2 percent'!AF55</f>
        <v>9.5829612549814085E-3</v>
      </c>
      <c r="AG15" s="118">
        <f>'tab2 lvl'!AG15/'tab2 percent'!AG55</f>
        <v>8.6150342572703775E-3</v>
      </c>
      <c r="AH15" s="118">
        <f>'tab2 lvl'!AH15/'tab2 percent'!AH55</f>
        <v>7.7887403408950255E-3</v>
      </c>
      <c r="AI15" s="118">
        <f>'tab2 lvl'!AI15/'tab2 percent'!AI55</f>
        <v>7.2319388967843658E-3</v>
      </c>
      <c r="AJ15" s="118">
        <f>'tab2 lvl'!AJ15/'tab2 percent'!AJ55</f>
        <v>8.2918457782607986E-3</v>
      </c>
      <c r="AK15" s="118">
        <f>'tab2 lvl'!AK15/'tab2 percent'!AK55</f>
        <v>6.9266997306530803E-3</v>
      </c>
      <c r="AL15" s="118">
        <f>'tab2 lvl'!AL15/'tab2 percent'!AL55</f>
        <v>8.4479375995947532E-3</v>
      </c>
      <c r="AM15" s="118">
        <f>'tab2 lvl'!AM15/'tab2 percent'!AM55</f>
        <v>7.5245530640643933E-3</v>
      </c>
      <c r="AN15" s="118">
        <f>'tab2 lvl'!AN15/'tab2 percent'!AN55</f>
        <v>7.7065916213754082E-3</v>
      </c>
      <c r="AO15" s="118">
        <f>'tab2 lvl'!AO15/'tab2 percent'!AO55</f>
        <v>6.3689158330338816E-3</v>
      </c>
      <c r="AP15" s="118">
        <f>'tab2 lvl'!AP15/'tab2 percent'!AP55</f>
        <v>5.3492750747382587E-3</v>
      </c>
      <c r="AQ15" s="118">
        <f>'tab2 lvl'!AQ15/'tab2 percent'!AQ55</f>
        <v>5.1882483199926083E-3</v>
      </c>
      <c r="AR15" s="118">
        <f>'tab2 lvl'!AR15/'tab2 percent'!AR55</f>
        <v>5.0050743847449277E-3</v>
      </c>
      <c r="AS15" s="118">
        <f>'tab2 lvl'!AS15/'tab2 percent'!AS55</f>
        <v>4.9612998249162644E-3</v>
      </c>
      <c r="AT15" s="118">
        <f>'tab2 lvl'!AT15/'tab2 percent'!AT55</f>
        <v>5.1037634106290281E-3</v>
      </c>
      <c r="AU15" s="118">
        <f>'tab2 lvl'!AU15/'tab2 percent'!AU55</f>
        <v>5.0696060645081401E-3</v>
      </c>
      <c r="AV15" s="118">
        <f>'tab2 lvl'!AV15/'tab2 percent'!AV55</f>
        <v>4.9000469518623172E-3</v>
      </c>
      <c r="AW15" s="118">
        <f>'tab2 lvl'!AW15/'tab2 percent'!AW55</f>
        <v>5.2058496716613813E-3</v>
      </c>
      <c r="AX15" s="118">
        <f>'tab2 lvl'!AX15/'tab2 percent'!AX55</f>
        <v>5.1692062777087041E-3</v>
      </c>
      <c r="AY15" s="118">
        <f>'tab2 lvl'!AY15/'tab2 percent'!AY55</f>
        <v>4.8358918903734218E-3</v>
      </c>
    </row>
    <row r="16" spans="1:52" ht="16.5">
      <c r="A16" s="2"/>
      <c r="B16" s="2"/>
      <c r="C16" s="42"/>
      <c r="D16" s="2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</row>
    <row r="17" spans="1:51" ht="16.5">
      <c r="A17" s="40"/>
      <c r="B17" s="40"/>
      <c r="C17" s="100" t="s">
        <v>64</v>
      </c>
      <c r="D17" s="40" t="s">
        <v>65</v>
      </c>
      <c r="E17" s="131">
        <f>'tab2 lvl'!E17/'tab2 percent'!E55</f>
        <v>8.5645975041508227E-2</v>
      </c>
      <c r="F17" s="131">
        <f>'tab2 lvl'!F17/'tab2 percent'!F55</f>
        <v>8.3464917532253713E-2</v>
      </c>
      <c r="G17" s="131">
        <f>'tab2 lvl'!G17/'tab2 percent'!G55</f>
        <v>7.8770111557569245E-2</v>
      </c>
      <c r="H17" s="131">
        <f>'tab2 lvl'!H17/'tab2 percent'!H55</f>
        <v>7.8938605802046119E-2</v>
      </c>
      <c r="I17" s="131">
        <f>'tab2 lvl'!I17/'tab2 percent'!I55</f>
        <v>7.7102240370782102E-2</v>
      </c>
      <c r="J17" s="131">
        <f>'tab2 lvl'!J17/'tab2 percent'!J55</f>
        <v>7.6307433871284552E-2</v>
      </c>
      <c r="K17" s="131">
        <f>'tab2 lvl'!K17/'tab2 percent'!K55</f>
        <v>8.0341677163493955E-2</v>
      </c>
      <c r="L17" s="131">
        <f>'tab2 lvl'!L17/'tab2 percent'!L55</f>
        <v>2.7880762626040247E-2</v>
      </c>
      <c r="M17" s="131">
        <f>'tab2 lvl'!M17/'tab2 percent'!M55</f>
        <v>2.7567914381226816E-2</v>
      </c>
      <c r="N17" s="131">
        <f>'tab2 lvl'!N17/'tab2 percent'!N55</f>
        <v>2.7921176852869788E-2</v>
      </c>
      <c r="O17" s="131">
        <f>'tab2 lvl'!O17/'tab2 percent'!O55</f>
        <v>2.4699256918175899E-2</v>
      </c>
      <c r="P17" s="131">
        <f>'tab2 lvl'!P17/'tab2 percent'!P55</f>
        <v>2.4216861418076444E-2</v>
      </c>
      <c r="Q17" s="131">
        <f>'tab2 lvl'!Q17/'tab2 percent'!Q55</f>
        <v>2.2730452314521261E-2</v>
      </c>
      <c r="R17" s="131">
        <f>'tab2 lvl'!R17/'tab2 percent'!R55</f>
        <v>2.6227301778891959E-2</v>
      </c>
      <c r="S17" s="131">
        <f>'tab2 lvl'!S17/'tab2 percent'!S55</f>
        <v>2.740434510803267E-2</v>
      </c>
      <c r="T17" s="131">
        <f>'tab2 lvl'!T17/'tab2 percent'!T55</f>
        <v>2.5409849027691677E-2</v>
      </c>
      <c r="U17" s="131">
        <f>'tab2 lvl'!U17/'tab2 percent'!U55</f>
        <v>3.1214413792387621E-2</v>
      </c>
      <c r="V17" s="131">
        <f>'tab2 lvl'!V17/'tab2 percent'!V55</f>
        <v>3.4813165555942868E-2</v>
      </c>
      <c r="W17" s="131">
        <f>'tab2 lvl'!W17/'tab2 percent'!W55</f>
        <v>2.2073808190237226E-2</v>
      </c>
      <c r="X17" s="131">
        <f>'tab2 lvl'!X17/'tab2 percent'!X55</f>
        <v>2.3010132364051198E-2</v>
      </c>
      <c r="Y17" s="131">
        <f>'tab2 lvl'!Y17/'tab2 percent'!Y55</f>
        <v>2.1417253156193108E-2</v>
      </c>
      <c r="Z17" s="131">
        <f>'tab2 lvl'!Z17/'tab2 percent'!Z55</f>
        <v>2.2597214960203005E-2</v>
      </c>
      <c r="AA17" s="131">
        <f>'tab2 lvl'!AA17/'tab2 percent'!AA55</f>
        <v>2.1516152216793996E-2</v>
      </c>
      <c r="AB17" s="131">
        <f>'tab2 lvl'!AB17/'tab2 percent'!AB55</f>
        <v>2.1899186196906784E-2</v>
      </c>
      <c r="AC17" s="131">
        <f>'tab2 lvl'!AC17/'tab2 percent'!AC55</f>
        <v>2.2838900694594787E-2</v>
      </c>
      <c r="AD17" s="131">
        <f>'tab2 lvl'!AD17/'tab2 percent'!AD55</f>
        <v>1.8978583967232298E-2</v>
      </c>
      <c r="AE17" s="131">
        <f>'tab2 lvl'!AE17/'tab2 percent'!AE55</f>
        <v>1.7509492913098508E-2</v>
      </c>
      <c r="AF17" s="131">
        <f>'tab2 lvl'!AF17/'tab2 percent'!AF55</f>
        <v>2.1574657798984397E-2</v>
      </c>
      <c r="AG17" s="131">
        <f>'tab2 lvl'!AG17/'tab2 percent'!AG55</f>
        <v>1.8532532251174804E-2</v>
      </c>
      <c r="AH17" s="131">
        <f>'tab2 lvl'!AH17/'tab2 percent'!AH55</f>
        <v>1.836185612724198E-2</v>
      </c>
      <c r="AI17" s="131">
        <f>'tab2 lvl'!AI17/'tab2 percent'!AI55</f>
        <v>1.8754898911418356E-2</v>
      </c>
      <c r="AJ17" s="131">
        <f>'tab2 lvl'!AJ17/'tab2 percent'!AJ55</f>
        <v>1.8808448371105523E-2</v>
      </c>
      <c r="AK17" s="131">
        <f>'tab2 lvl'!AK17/'tab2 percent'!AK55</f>
        <v>1.4669484097987351E-2</v>
      </c>
      <c r="AL17" s="131">
        <f>'tab2 lvl'!AL17/'tab2 percent'!AL55</f>
        <v>1.4368388635300787E-2</v>
      </c>
      <c r="AM17" s="131">
        <f>'tab2 lvl'!AM17/'tab2 percent'!AM55</f>
        <v>1.7394858613521757E-2</v>
      </c>
      <c r="AN17" s="131">
        <f>'tab2 lvl'!AN17/'tab2 percent'!AN55</f>
        <v>1.3598075918117914E-2</v>
      </c>
      <c r="AO17" s="131">
        <f>'tab2 lvl'!AO17/'tab2 percent'!AO55</f>
        <v>1.2640663969676247E-2</v>
      </c>
      <c r="AP17" s="131">
        <f>'tab2 lvl'!AP17/'tab2 percent'!AP55</f>
        <v>1.238820577888731E-2</v>
      </c>
      <c r="AQ17" s="131">
        <f>'tab2 lvl'!AQ17/'tab2 percent'!AQ55</f>
        <v>1.232064191804415E-2</v>
      </c>
      <c r="AR17" s="131">
        <f>'tab2 lvl'!AR17/'tab2 percent'!AR55</f>
        <v>1.1996371429368498E-2</v>
      </c>
      <c r="AS17" s="131">
        <f>'tab2 lvl'!AS17/'tab2 percent'!AS55</f>
        <v>1.1402006309938435E-2</v>
      </c>
      <c r="AT17" s="131">
        <f>'tab2 lvl'!AT17/'tab2 percent'!AT55</f>
        <v>1.0245055175384208E-2</v>
      </c>
      <c r="AU17" s="131">
        <f>'tab2 lvl'!AU17/'tab2 percent'!AU55</f>
        <v>9.1977965064344962E-3</v>
      </c>
      <c r="AV17" s="131">
        <f>'tab2 lvl'!AV17/'tab2 percent'!AV55</f>
        <v>9.495804547370125E-3</v>
      </c>
      <c r="AW17" s="131">
        <f>'tab2 lvl'!AW17/'tab2 percent'!AW55</f>
        <v>8.4741924492270863E-3</v>
      </c>
      <c r="AX17" s="131">
        <f>'tab2 lvl'!AX17/'tab2 percent'!AX55</f>
        <v>8.42843711338934E-3</v>
      </c>
      <c r="AY17" s="131">
        <f>'tab2 lvl'!AY17/'tab2 percent'!AY55</f>
        <v>9.7439656695187341E-3</v>
      </c>
    </row>
    <row r="18" spans="1:51" ht="16.5">
      <c r="A18" s="2"/>
      <c r="B18" s="2"/>
      <c r="C18" s="2"/>
      <c r="D18" s="102" t="s">
        <v>10</v>
      </c>
      <c r="E18" s="118">
        <f>'tab2 lvl'!E18/'tab2 percent'!E55</f>
        <v>5.094960098548551E-2</v>
      </c>
      <c r="F18" s="118">
        <f>'tab2 lvl'!F18/'tab2 percent'!F55</f>
        <v>4.9161769156830071E-2</v>
      </c>
      <c r="G18" s="118">
        <f>'tab2 lvl'!G18/'tab2 percent'!G55</f>
        <v>4.7619009172430518E-2</v>
      </c>
      <c r="H18" s="118">
        <f>'tab2 lvl'!H18/'tab2 percent'!H55</f>
        <v>4.8120911602236915E-2</v>
      </c>
      <c r="I18" s="118">
        <f>'tab2 lvl'!I18/'tab2 percent'!I55</f>
        <v>4.6998449160449984E-2</v>
      </c>
      <c r="J18" s="118">
        <f>'tab2 lvl'!J18/'tab2 percent'!J55</f>
        <v>4.4238668993089425E-2</v>
      </c>
      <c r="K18" s="118">
        <f>'tab2 lvl'!K18/'tab2 percent'!K55</f>
        <v>4.7346791014812498E-2</v>
      </c>
      <c r="L18" s="118">
        <f>'tab2 lvl'!L18/'tab2 percent'!L55</f>
        <v>1.1976575227863149E-3</v>
      </c>
      <c r="M18" s="118">
        <f>'tab2 lvl'!M18/'tab2 percent'!M55</f>
        <v>1.5405048942569977E-3</v>
      </c>
      <c r="N18" s="118">
        <f>'tab2 lvl'!N18/'tab2 percent'!N55</f>
        <v>1.4810603568506701E-3</v>
      </c>
      <c r="O18" s="118">
        <f>'tab2 lvl'!O18/'tab2 percent'!O55</f>
        <v>1.0754082564137981E-3</v>
      </c>
      <c r="P18" s="118">
        <f>'tab2 lvl'!P18/'tab2 percent'!P55</f>
        <v>1.8125666444007062E-3</v>
      </c>
      <c r="Q18" s="118">
        <f>'tab2 lvl'!Q18/'tab2 percent'!Q55</f>
        <v>2.0065948550514923E-3</v>
      </c>
      <c r="R18" s="118">
        <f>'tab2 lvl'!R18/'tab2 percent'!R55</f>
        <v>1.636662207840571E-3</v>
      </c>
      <c r="S18" s="118">
        <f>'tab2 lvl'!S18/'tab2 percent'!S55</f>
        <v>4.4595637294640687E-3</v>
      </c>
      <c r="T18" s="118">
        <f>'tab2 lvl'!T18/'tab2 percent'!T55</f>
        <v>6.0862756522424167E-3</v>
      </c>
      <c r="U18" s="118">
        <f>'tab2 lvl'!U18/'tab2 percent'!U55</f>
        <v>1.0258211993948043E-2</v>
      </c>
      <c r="V18" s="118">
        <f>'tab2 lvl'!V18/'tab2 percent'!V55</f>
        <v>1.4351966029349562E-2</v>
      </c>
      <c r="W18" s="118">
        <f>'tab2 lvl'!W18/'tab2 percent'!W55</f>
        <v>1.1649023283412116E-3</v>
      </c>
      <c r="X18" s="118">
        <f>'tab2 lvl'!X18/'tab2 percent'!X55</f>
        <v>1.4324749320124861E-3</v>
      </c>
      <c r="Y18" s="118">
        <f>'tab2 lvl'!Y18/'tab2 percent'!Y55</f>
        <v>8.933611825225695E-4</v>
      </c>
      <c r="Z18" s="118">
        <f>'tab2 lvl'!Z18/'tab2 percent'!Z55</f>
        <v>8.2191794750045182E-4</v>
      </c>
      <c r="AA18" s="118">
        <f>'tab2 lvl'!AA18/'tab2 percent'!AA55</f>
        <v>8.1775841488859822E-4</v>
      </c>
      <c r="AB18" s="118">
        <f>'tab2 lvl'!AB18/'tab2 percent'!AB55</f>
        <v>9.6571915053095866E-4</v>
      </c>
      <c r="AC18" s="118">
        <f>'tab2 lvl'!AC18/'tab2 percent'!AC55</f>
        <v>8.8315011979734237E-4</v>
      </c>
      <c r="AD18" s="118">
        <f>'tab2 lvl'!AD18/'tab2 percent'!AD55</f>
        <v>2.7311878291398479E-3</v>
      </c>
      <c r="AE18" s="118">
        <f>'tab2 lvl'!AE18/'tab2 percent'!AE55</f>
        <v>1.6493152559380593E-3</v>
      </c>
      <c r="AF18" s="118">
        <f>'tab2 lvl'!AF18/'tab2 percent'!AF55</f>
        <v>2.5740047181756391E-3</v>
      </c>
      <c r="AG18" s="118">
        <f>'tab2 lvl'!AG18/'tab2 percent'!AG55</f>
        <v>2.2010836016194959E-3</v>
      </c>
      <c r="AH18" s="118">
        <f>'tab2 lvl'!AH18/'tab2 percent'!AH55</f>
        <v>2.1213263819359262E-3</v>
      </c>
      <c r="AI18" s="118">
        <f>'tab2 lvl'!AI18/'tab2 percent'!AI55</f>
        <v>2.0989833702158367E-3</v>
      </c>
      <c r="AJ18" s="118">
        <f>'tab2 lvl'!AJ18/'tab2 percent'!AJ55</f>
        <v>2.1360670261310563E-3</v>
      </c>
      <c r="AK18" s="118">
        <f>'tab2 lvl'!AK18/'tab2 percent'!AK55</f>
        <v>3.7240568784759356E-3</v>
      </c>
      <c r="AL18" s="118">
        <f>'tab2 lvl'!AL18/'tab2 percent'!AL55</f>
        <v>3.6774848965326137E-3</v>
      </c>
      <c r="AM18" s="118">
        <f>'tab2 lvl'!AM18/'tab2 percent'!AM55</f>
        <v>3.5438703862979179E-3</v>
      </c>
      <c r="AN18" s="118">
        <f>'tab2 lvl'!AN18/'tab2 percent'!AN55</f>
        <v>7.2658321504534237E-4</v>
      </c>
      <c r="AO18" s="118">
        <f>'tab2 lvl'!AO18/'tab2 percent'!AO55</f>
        <v>6.2941543312197885E-4</v>
      </c>
      <c r="AP18" s="118">
        <f>'tab2 lvl'!AP18/'tab2 percent'!AP55</f>
        <v>5.1468504452343341E-4</v>
      </c>
      <c r="AQ18" s="118">
        <f>'tab2 lvl'!AQ18/'tab2 percent'!AQ55</f>
        <v>4.204950464708408E-4</v>
      </c>
      <c r="AR18" s="118">
        <f>'tab2 lvl'!AR18/'tab2 percent'!AR55</f>
        <v>4.1872207983756425E-4</v>
      </c>
      <c r="AS18" s="118">
        <f>'tab2 lvl'!AS18/'tab2 percent'!AS55</f>
        <v>3.6139594532744326E-4</v>
      </c>
      <c r="AT18" s="118">
        <f>'tab2 lvl'!AT18/'tab2 percent'!AT55</f>
        <v>3.7757249178350401E-4</v>
      </c>
      <c r="AU18" s="118">
        <f>'tab2 lvl'!AU18/'tab2 percent'!AU55</f>
        <v>3.7435324589885668E-4</v>
      </c>
      <c r="AV18" s="118">
        <f>'tab2 lvl'!AV18/'tab2 percent'!AV55</f>
        <v>4.0519393903344972E-4</v>
      </c>
      <c r="AW18" s="118">
        <f>'tab2 lvl'!AW18/'tab2 percent'!AW55</f>
        <v>3.2147313573694937E-4</v>
      </c>
      <c r="AX18" s="118">
        <f>'tab2 lvl'!AX18/'tab2 percent'!AX55</f>
        <v>2.6638303648833343E-4</v>
      </c>
      <c r="AY18" s="118">
        <f>'tab2 lvl'!AY18/'tab2 percent'!AY55</f>
        <v>3.6337586322769482E-4</v>
      </c>
    </row>
    <row r="19" spans="1:51" ht="16.5">
      <c r="A19" s="2"/>
      <c r="B19" s="2"/>
      <c r="C19" s="2"/>
      <c r="D19" s="102" t="s">
        <v>11</v>
      </c>
      <c r="E19" s="118">
        <f>'tab2 lvl'!E19/'tab2 percent'!E55</f>
        <v>3.4696374056022709E-2</v>
      </c>
      <c r="F19" s="118">
        <f>'tab2 lvl'!F19/'tab2 percent'!F55</f>
        <v>3.4303148375423649E-2</v>
      </c>
      <c r="G19" s="118">
        <f>'tab2 lvl'!G19/'tab2 percent'!G55</f>
        <v>3.1151102385138737E-2</v>
      </c>
      <c r="H19" s="118">
        <f>'tab2 lvl'!H19/'tab2 percent'!H55</f>
        <v>3.0817694199809197E-2</v>
      </c>
      <c r="I19" s="118">
        <f>'tab2 lvl'!I19/'tab2 percent'!I55</f>
        <v>3.0103791210332118E-2</v>
      </c>
      <c r="J19" s="118">
        <f>'tab2 lvl'!J19/'tab2 percent'!J55</f>
        <v>3.2068764878195134E-2</v>
      </c>
      <c r="K19" s="118">
        <f>'tab2 lvl'!K19/'tab2 percent'!K55</f>
        <v>3.2994886148681464E-2</v>
      </c>
      <c r="L19" s="118">
        <f>'tab2 lvl'!L19/'tab2 percent'!L55</f>
        <v>2.6683105103253928E-2</v>
      </c>
      <c r="M19" s="118">
        <f>'tab2 lvl'!M19/'tab2 percent'!M55</f>
        <v>2.6027409486969817E-2</v>
      </c>
      <c r="N19" s="118">
        <f>'tab2 lvl'!N19/'tab2 percent'!N55</f>
        <v>2.6440116496019114E-2</v>
      </c>
      <c r="O19" s="118">
        <f>'tab2 lvl'!O19/'tab2 percent'!O55</f>
        <v>2.3623848661762103E-2</v>
      </c>
      <c r="P19" s="118">
        <f>'tab2 lvl'!P19/'tab2 percent'!P55</f>
        <v>2.2404294773675736E-2</v>
      </c>
      <c r="Q19" s="118">
        <f>'tab2 lvl'!Q19/'tab2 percent'!Q55</f>
        <v>2.072385745946977E-2</v>
      </c>
      <c r="R19" s="118">
        <f>'tab2 lvl'!R19/'tab2 percent'!R55</f>
        <v>2.4590639571051388E-2</v>
      </c>
      <c r="S19" s="118">
        <f>'tab2 lvl'!S19/'tab2 percent'!S55</f>
        <v>2.2944781378568601E-2</v>
      </c>
      <c r="T19" s="118">
        <f>'tab2 lvl'!T19/'tab2 percent'!T55</f>
        <v>1.9323573375449262E-2</v>
      </c>
      <c r="U19" s="118">
        <f>'tab2 lvl'!U19/'tab2 percent'!U55</f>
        <v>2.0956201798439579E-2</v>
      </c>
      <c r="V19" s="118">
        <f>'tab2 lvl'!V19/'tab2 percent'!V55</f>
        <v>2.0461199526593307E-2</v>
      </c>
      <c r="W19" s="118">
        <f>'tab2 lvl'!W19/'tab2 percent'!W55</f>
        <v>2.0908905861896015E-2</v>
      </c>
      <c r="X19" s="118">
        <f>'tab2 lvl'!X19/'tab2 percent'!X55</f>
        <v>2.157765743203871E-2</v>
      </c>
      <c r="Y19" s="118">
        <f>'tab2 lvl'!Y19/'tab2 percent'!Y55</f>
        <v>2.0523891973670539E-2</v>
      </c>
      <c r="Z19" s="118">
        <f>'tab2 lvl'!Z19/'tab2 percent'!Z55</f>
        <v>2.1775297012702553E-2</v>
      </c>
      <c r="AA19" s="118">
        <f>'tab2 lvl'!AA19/'tab2 percent'!AA55</f>
        <v>2.0698393801905399E-2</v>
      </c>
      <c r="AB19" s="118">
        <f>'tab2 lvl'!AB19/'tab2 percent'!AB55</f>
        <v>2.0933467046375824E-2</v>
      </c>
      <c r="AC19" s="118">
        <f>'tab2 lvl'!AC19/'tab2 percent'!AC55</f>
        <v>2.1955750574797445E-2</v>
      </c>
      <c r="AD19" s="118">
        <f>'tab2 lvl'!AD19/'tab2 percent'!AD55</f>
        <v>1.6247396138092451E-2</v>
      </c>
      <c r="AE19" s="118">
        <f>'tab2 lvl'!AE19/'tab2 percent'!AE55</f>
        <v>1.5860177657160447E-2</v>
      </c>
      <c r="AF19" s="118">
        <f>'tab2 lvl'!AF19/'tab2 percent'!AF55</f>
        <v>1.9000653080808755E-2</v>
      </c>
      <c r="AG19" s="118">
        <f>'tab2 lvl'!AG19/'tab2 percent'!AG55</f>
        <v>1.6331448649555307E-2</v>
      </c>
      <c r="AH19" s="118">
        <f>'tab2 lvl'!AH19/'tab2 percent'!AH55</f>
        <v>1.6240529745306053E-2</v>
      </c>
      <c r="AI19" s="118">
        <f>'tab2 lvl'!AI19/'tab2 percent'!AI55</f>
        <v>1.6655915541202521E-2</v>
      </c>
      <c r="AJ19" s="118">
        <f>'tab2 lvl'!AJ19/'tab2 percent'!AJ55</f>
        <v>1.6672381344974466E-2</v>
      </c>
      <c r="AK19" s="118">
        <f>'tab2 lvl'!AK19/'tab2 percent'!AK55</f>
        <v>1.0945427219511415E-2</v>
      </c>
      <c r="AL19" s="118">
        <f>'tab2 lvl'!AL19/'tab2 percent'!AL55</f>
        <v>1.0690903738768173E-2</v>
      </c>
      <c r="AM19" s="118">
        <f>'tab2 lvl'!AM19/'tab2 percent'!AM55</f>
        <v>1.385098822722384E-2</v>
      </c>
      <c r="AN19" s="118">
        <f>'tab2 lvl'!AN19/'tab2 percent'!AN55</f>
        <v>1.2871492703072572E-2</v>
      </c>
      <c r="AO19" s="118">
        <f>'tab2 lvl'!AO19/'tab2 percent'!AO55</f>
        <v>1.2011248536554267E-2</v>
      </c>
      <c r="AP19" s="118">
        <f>'tab2 lvl'!AP19/'tab2 percent'!AP55</f>
        <v>1.1873520734363877E-2</v>
      </c>
      <c r="AQ19" s="118">
        <f>'tab2 lvl'!AQ19/'tab2 percent'!AQ55</f>
        <v>1.1900146871573309E-2</v>
      </c>
      <c r="AR19" s="118">
        <f>'tab2 lvl'!AR19/'tab2 percent'!AR55</f>
        <v>1.1577649349530934E-2</v>
      </c>
      <c r="AS19" s="118">
        <f>'tab2 lvl'!AS19/'tab2 percent'!AS55</f>
        <v>1.1040610364610992E-2</v>
      </c>
      <c r="AT19" s="118">
        <f>'tab2 lvl'!AT19/'tab2 percent'!AT55</f>
        <v>9.8674826836007042E-3</v>
      </c>
      <c r="AU19" s="118">
        <f>'tab2 lvl'!AU19/'tab2 percent'!AU55</f>
        <v>8.8234432605356402E-3</v>
      </c>
      <c r="AV19" s="118">
        <f>'tab2 lvl'!AV19/'tab2 percent'!AV55</f>
        <v>9.0906106083366751E-3</v>
      </c>
      <c r="AW19" s="118">
        <f>'tab2 lvl'!AW19/'tab2 percent'!AW55</f>
        <v>8.1527193134901359E-3</v>
      </c>
      <c r="AX19" s="118">
        <f>'tab2 lvl'!AX19/'tab2 percent'!AX55</f>
        <v>8.1620540769010066E-3</v>
      </c>
      <c r="AY19" s="118">
        <f>'tab2 lvl'!AY19/'tab2 percent'!AY55</f>
        <v>9.3805898062910391E-3</v>
      </c>
    </row>
    <row r="20" spans="1:51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96"/>
      <c r="R20" s="96"/>
      <c r="S20" s="96"/>
      <c r="T20" s="96"/>
      <c r="U20" s="96"/>
      <c r="V20" s="96"/>
      <c r="W20" s="96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03"/>
      <c r="AN20" s="3"/>
      <c r="AO20" s="4"/>
      <c r="AP20" s="4"/>
      <c r="AQ20" s="4"/>
      <c r="AR20" s="97"/>
      <c r="AS20" s="4"/>
      <c r="AU20" s="4"/>
      <c r="AV20" s="4"/>
      <c r="AW20" s="4"/>
      <c r="AX20" s="4"/>
      <c r="AY20" s="4"/>
    </row>
    <row r="21" spans="1:51" ht="16.5">
      <c r="A21" s="39" t="s">
        <v>14</v>
      </c>
      <c r="B21" s="40" t="s">
        <v>66</v>
      </c>
      <c r="C21" s="40"/>
      <c r="D21" s="40"/>
      <c r="E21" s="15">
        <f>'tab2 lvl'!E21/'tab2 percent'!E55</f>
        <v>1.2575258271741931</v>
      </c>
      <c r="F21" s="15">
        <f t="shared" ref="F21:AV21" si="0">F22+F23</f>
        <v>1.2232225936473891</v>
      </c>
      <c r="G21" s="15">
        <f t="shared" si="0"/>
        <v>1.2034859857650755</v>
      </c>
      <c r="H21" s="15">
        <f t="shared" si="0"/>
        <v>1.1640257306264017</v>
      </c>
      <c r="I21" s="15">
        <f t="shared" si="0"/>
        <v>1.15121794017449</v>
      </c>
      <c r="J21" s="15">
        <f t="shared" si="0"/>
        <v>1.1513578154065955</v>
      </c>
      <c r="K21" s="15">
        <f t="shared" si="0"/>
        <v>1.136349367744115</v>
      </c>
      <c r="L21" s="15">
        <f t="shared" si="0"/>
        <v>1.008596888855559</v>
      </c>
      <c r="M21" s="15">
        <f t="shared" si="0"/>
        <v>0.9713380754598635</v>
      </c>
      <c r="N21" s="15">
        <f t="shared" si="0"/>
        <v>0.95412318985340416</v>
      </c>
      <c r="O21" s="15">
        <f t="shared" si="0"/>
        <v>0.91965646046823846</v>
      </c>
      <c r="P21" s="15">
        <f t="shared" si="0"/>
        <v>0.92189622273586835</v>
      </c>
      <c r="Q21" s="15">
        <f t="shared" si="0"/>
        <v>0.91419287117702741</v>
      </c>
      <c r="R21" s="15">
        <f t="shared" si="0"/>
        <v>0.87484529502690367</v>
      </c>
      <c r="S21" s="15">
        <f t="shared" si="0"/>
        <v>0.88487618760141129</v>
      </c>
      <c r="T21" s="15">
        <f t="shared" si="0"/>
        <v>0.85146902115197476</v>
      </c>
      <c r="U21" s="15">
        <f t="shared" si="0"/>
        <v>0.86693780665657116</v>
      </c>
      <c r="V21" s="15">
        <f t="shared" si="0"/>
        <v>0.86829879832973</v>
      </c>
      <c r="W21" s="15">
        <f t="shared" si="0"/>
        <v>0.85143849650990022</v>
      </c>
      <c r="X21" s="15">
        <f t="shared" si="0"/>
        <v>0.83831740832279333</v>
      </c>
      <c r="Y21" s="15">
        <f t="shared" si="0"/>
        <v>0.83697762866281156</v>
      </c>
      <c r="Z21" s="15">
        <f t="shared" si="0"/>
        <v>0.84484539390719493</v>
      </c>
      <c r="AA21" s="15">
        <f t="shared" si="0"/>
        <v>0.84616016437047981</v>
      </c>
      <c r="AB21" s="15">
        <f t="shared" si="0"/>
        <v>0.85502094822154184</v>
      </c>
      <c r="AC21" s="131">
        <f>AC22+AC23</f>
        <v>0.83624148399019971</v>
      </c>
      <c r="AD21" s="131">
        <f t="shared" si="0"/>
        <v>0.82878920340487428</v>
      </c>
      <c r="AE21" s="131">
        <f t="shared" si="0"/>
        <v>0.82405477589144771</v>
      </c>
      <c r="AF21" s="131">
        <f t="shared" si="0"/>
        <v>0.86656139342560889</v>
      </c>
      <c r="AG21" s="131">
        <f t="shared" si="0"/>
        <v>0.88151615547431694</v>
      </c>
      <c r="AH21" s="131">
        <f t="shared" si="0"/>
        <v>0.87123735110283773</v>
      </c>
      <c r="AI21" s="131">
        <f t="shared" si="0"/>
        <v>0.92147301499664402</v>
      </c>
      <c r="AJ21" s="131">
        <f t="shared" si="0"/>
        <v>0.92033033109353668</v>
      </c>
      <c r="AK21" s="131">
        <f t="shared" si="0"/>
        <v>0.89594021552712388</v>
      </c>
      <c r="AL21" s="131">
        <f t="shared" si="0"/>
        <v>0.87800899303087565</v>
      </c>
      <c r="AM21" s="131">
        <f t="shared" si="0"/>
        <v>0.88507529828124476</v>
      </c>
      <c r="AN21" s="131">
        <f t="shared" si="0"/>
        <v>0.87622000590323035</v>
      </c>
      <c r="AO21" s="131">
        <f t="shared" si="0"/>
        <v>0.86539219337530848</v>
      </c>
      <c r="AP21" s="131">
        <f t="shared" si="0"/>
        <v>0.86090091969924343</v>
      </c>
      <c r="AQ21" s="131">
        <f t="shared" si="0"/>
        <v>0.85041638977634815</v>
      </c>
      <c r="AR21" s="131">
        <f t="shared" si="0"/>
        <v>0.84423704411902212</v>
      </c>
      <c r="AS21" s="131">
        <f t="shared" si="0"/>
        <v>0.81232558200811988</v>
      </c>
      <c r="AT21" s="131">
        <f t="shared" si="0"/>
        <v>0.79925719409957585</v>
      </c>
      <c r="AU21" s="131">
        <f t="shared" si="0"/>
        <v>0.78505552917549037</v>
      </c>
      <c r="AV21" s="131">
        <f t="shared" si="0"/>
        <v>0.7705076660675616</v>
      </c>
      <c r="AW21" s="131">
        <f t="shared" ref="AW21:AY21" si="1">AW22+AW23</f>
        <v>0.76284767152260913</v>
      </c>
      <c r="AX21" s="131">
        <f t="shared" si="1"/>
        <v>0.75336081166530655</v>
      </c>
      <c r="AY21" s="131">
        <f t="shared" si="1"/>
        <v>0.75842658295896503</v>
      </c>
    </row>
    <row r="22" spans="1:51" ht="16.5">
      <c r="A22" s="2"/>
      <c r="B22" s="2"/>
      <c r="C22" s="2" t="s">
        <v>10</v>
      </c>
      <c r="D22" s="2"/>
      <c r="E22" s="22">
        <f>'tab2 lvl'!E22/'tab2 percent'!E55</f>
        <v>0.46991096776655561</v>
      </c>
      <c r="F22" s="22">
        <f t="shared" ref="F22:AV23" si="2">F6+F10</f>
        <v>0.45781682705821786</v>
      </c>
      <c r="G22" s="22">
        <f t="shared" si="2"/>
        <v>0.46887068468235998</v>
      </c>
      <c r="H22" s="22">
        <f t="shared" si="2"/>
        <v>0.4629329656562382</v>
      </c>
      <c r="I22" s="22">
        <f t="shared" si="2"/>
        <v>0.48185179743047885</v>
      </c>
      <c r="J22" s="22">
        <f t="shared" si="2"/>
        <v>0.48425662251463641</v>
      </c>
      <c r="K22" s="22">
        <f t="shared" si="2"/>
        <v>0.47655652492546657</v>
      </c>
      <c r="L22" s="22">
        <f t="shared" si="2"/>
        <v>0.42922342133762315</v>
      </c>
      <c r="M22" s="22">
        <f t="shared" si="2"/>
        <v>0.39905209878737119</v>
      </c>
      <c r="N22" s="22">
        <f t="shared" si="2"/>
        <v>0.39294767756246801</v>
      </c>
      <c r="O22" s="22">
        <f t="shared" si="2"/>
        <v>0.39965967052947893</v>
      </c>
      <c r="P22" s="22">
        <f t="shared" si="2"/>
        <v>0.4387731255914642</v>
      </c>
      <c r="Q22" s="22">
        <f t="shared" si="2"/>
        <v>0.44316943349691373</v>
      </c>
      <c r="R22" s="22">
        <f t="shared" si="2"/>
        <v>0.43630034350999947</v>
      </c>
      <c r="S22" s="22">
        <f t="shared" si="2"/>
        <v>0.46750832896166228</v>
      </c>
      <c r="T22" s="22">
        <f t="shared" si="2"/>
        <v>0.47835785106903361</v>
      </c>
      <c r="U22" s="22">
        <f t="shared" si="2"/>
        <v>0.48698157400297903</v>
      </c>
      <c r="V22" s="22">
        <f t="shared" si="2"/>
        <v>0.49190863440806387</v>
      </c>
      <c r="W22" s="22">
        <f t="shared" si="2"/>
        <v>0.49601201944080969</v>
      </c>
      <c r="X22" s="22">
        <f t="shared" si="2"/>
        <v>0.4552282235047882</v>
      </c>
      <c r="Y22" s="22">
        <f t="shared" si="2"/>
        <v>0.45193938482922624</v>
      </c>
      <c r="Z22" s="22">
        <f t="shared" si="2"/>
        <v>0.46161386653129405</v>
      </c>
      <c r="AA22" s="22">
        <f t="shared" si="2"/>
        <v>0.46516519843270898</v>
      </c>
      <c r="AB22" s="22">
        <f t="shared" si="2"/>
        <v>0.47752252977899223</v>
      </c>
      <c r="AC22" s="118">
        <f t="shared" si="2"/>
        <v>0.47334784814801167</v>
      </c>
      <c r="AD22" s="118">
        <f t="shared" si="2"/>
        <v>0.47576035452005966</v>
      </c>
      <c r="AE22" s="118">
        <f t="shared" si="2"/>
        <v>0.49115839608407807</v>
      </c>
      <c r="AF22" s="118">
        <f t="shared" si="2"/>
        <v>0.5481846378646047</v>
      </c>
      <c r="AG22" s="118">
        <f t="shared" si="2"/>
        <v>0.56431119512302907</v>
      </c>
      <c r="AH22" s="118">
        <f t="shared" si="2"/>
        <v>0.55952202369282111</v>
      </c>
      <c r="AI22" s="118">
        <f t="shared" si="2"/>
        <v>0.61245479480360254</v>
      </c>
      <c r="AJ22" s="118">
        <f t="shared" si="2"/>
        <v>0.6251020728725909</v>
      </c>
      <c r="AK22" s="118">
        <f t="shared" si="2"/>
        <v>0.64131060068299894</v>
      </c>
      <c r="AL22" s="118">
        <f t="shared" si="2"/>
        <v>0.63281901268979812</v>
      </c>
      <c r="AM22" s="118">
        <f t="shared" si="2"/>
        <v>0.6449281623573222</v>
      </c>
      <c r="AN22" s="118">
        <f t="shared" si="2"/>
        <v>0.65586798444029215</v>
      </c>
      <c r="AO22" s="118">
        <f t="shared" si="2"/>
        <v>0.66060535036101597</v>
      </c>
      <c r="AP22" s="118">
        <f t="shared" si="2"/>
        <v>0.65409874320784134</v>
      </c>
      <c r="AQ22" s="118">
        <f t="shared" si="2"/>
        <v>0.6497393833272338</v>
      </c>
      <c r="AR22" s="118">
        <f t="shared" si="2"/>
        <v>0.64736076155246636</v>
      </c>
      <c r="AS22" s="118">
        <f t="shared" si="2"/>
        <v>0.61821067127842444</v>
      </c>
      <c r="AT22" s="118">
        <f t="shared" si="2"/>
        <v>0.61494777850491622</v>
      </c>
      <c r="AU22" s="118">
        <f t="shared" si="2"/>
        <v>0.60176867020620262</v>
      </c>
      <c r="AV22" s="118">
        <f t="shared" si="2"/>
        <v>0.59607837402191577</v>
      </c>
      <c r="AW22" s="118">
        <f t="shared" ref="AW22:AY22" si="3">AW6+AW10</f>
        <v>0.58968641611341488</v>
      </c>
      <c r="AX22" s="118">
        <f t="shared" si="3"/>
        <v>0.57910592860876464</v>
      </c>
      <c r="AY22" s="118">
        <f t="shared" si="3"/>
        <v>0.57899158315418697</v>
      </c>
    </row>
    <row r="23" spans="1:51" ht="16.5">
      <c r="A23" s="2"/>
      <c r="B23" s="2"/>
      <c r="C23" s="2" t="s">
        <v>11</v>
      </c>
      <c r="D23" s="2"/>
      <c r="E23" s="22">
        <f>'tab2 lvl'!E23/'tab2 percent'!E55</f>
        <v>0.78761485940763754</v>
      </c>
      <c r="F23" s="22">
        <f t="shared" si="2"/>
        <v>0.76540576658917114</v>
      </c>
      <c r="G23" s="22">
        <f t="shared" si="2"/>
        <v>0.73461530108271544</v>
      </c>
      <c r="H23" s="22">
        <f t="shared" si="2"/>
        <v>0.7010927649701636</v>
      </c>
      <c r="I23" s="22">
        <f t="shared" si="2"/>
        <v>0.66936614274401107</v>
      </c>
      <c r="J23" s="22">
        <f t="shared" si="2"/>
        <v>0.66710119289195913</v>
      </c>
      <c r="K23" s="22">
        <f t="shared" si="2"/>
        <v>0.65979284281864836</v>
      </c>
      <c r="L23" s="22">
        <f t="shared" si="2"/>
        <v>0.57937346751793584</v>
      </c>
      <c r="M23" s="22">
        <f t="shared" si="2"/>
        <v>0.57228597667249237</v>
      </c>
      <c r="N23" s="22">
        <f t="shared" si="2"/>
        <v>0.5611755122909361</v>
      </c>
      <c r="O23" s="22">
        <f t="shared" si="2"/>
        <v>0.51999678993875953</v>
      </c>
      <c r="P23" s="22">
        <f t="shared" si="2"/>
        <v>0.48312309714440416</v>
      </c>
      <c r="Q23" s="22">
        <f t="shared" si="2"/>
        <v>0.47102343768011368</v>
      </c>
      <c r="R23" s="22">
        <f t="shared" si="2"/>
        <v>0.43854495151690426</v>
      </c>
      <c r="S23" s="22">
        <f t="shared" si="2"/>
        <v>0.41736785863974901</v>
      </c>
      <c r="T23" s="22">
        <f t="shared" si="2"/>
        <v>0.37311117008294115</v>
      </c>
      <c r="U23" s="22">
        <f t="shared" si="2"/>
        <v>0.37995623265359207</v>
      </c>
      <c r="V23" s="22">
        <f t="shared" si="2"/>
        <v>0.37639016392166613</v>
      </c>
      <c r="W23" s="22">
        <f t="shared" si="2"/>
        <v>0.35542647706909059</v>
      </c>
      <c r="X23" s="22">
        <f t="shared" si="2"/>
        <v>0.38308918481800508</v>
      </c>
      <c r="Y23" s="22">
        <f t="shared" si="2"/>
        <v>0.38503824383358531</v>
      </c>
      <c r="Z23" s="22">
        <f t="shared" si="2"/>
        <v>0.38323152737590083</v>
      </c>
      <c r="AA23" s="22">
        <f t="shared" si="2"/>
        <v>0.38099496593777082</v>
      </c>
      <c r="AB23" s="22">
        <f t="shared" si="2"/>
        <v>0.37749841844254955</v>
      </c>
      <c r="AC23" s="118">
        <f t="shared" si="2"/>
        <v>0.36289363584218803</v>
      </c>
      <c r="AD23" s="118">
        <f t="shared" si="2"/>
        <v>0.35302884888481456</v>
      </c>
      <c r="AE23" s="118">
        <f t="shared" si="2"/>
        <v>0.33289637980736964</v>
      </c>
      <c r="AF23" s="118">
        <f t="shared" si="2"/>
        <v>0.31837675556100414</v>
      </c>
      <c r="AG23" s="118">
        <f t="shared" si="2"/>
        <v>0.31720496035128781</v>
      </c>
      <c r="AH23" s="118">
        <f t="shared" si="2"/>
        <v>0.31171532741001656</v>
      </c>
      <c r="AI23" s="118">
        <f t="shared" si="2"/>
        <v>0.30901822019304148</v>
      </c>
      <c r="AJ23" s="118">
        <f t="shared" si="2"/>
        <v>0.29522825822094584</v>
      </c>
      <c r="AK23" s="118">
        <f t="shared" si="2"/>
        <v>0.25462961484412494</v>
      </c>
      <c r="AL23" s="118">
        <f t="shared" si="2"/>
        <v>0.24518998034107753</v>
      </c>
      <c r="AM23" s="118">
        <f t="shared" si="2"/>
        <v>0.24014713592392256</v>
      </c>
      <c r="AN23" s="118">
        <f t="shared" si="2"/>
        <v>0.2203520214629382</v>
      </c>
      <c r="AO23" s="118">
        <f t="shared" si="2"/>
        <v>0.20478684301429248</v>
      </c>
      <c r="AP23" s="118">
        <f t="shared" si="2"/>
        <v>0.20680217649140206</v>
      </c>
      <c r="AQ23" s="118">
        <f t="shared" si="2"/>
        <v>0.20067700644911435</v>
      </c>
      <c r="AR23" s="118">
        <f t="shared" si="2"/>
        <v>0.1968762825665557</v>
      </c>
      <c r="AS23" s="118">
        <f t="shared" si="2"/>
        <v>0.19411491072969547</v>
      </c>
      <c r="AT23" s="118">
        <f t="shared" si="2"/>
        <v>0.18430941559465963</v>
      </c>
      <c r="AU23" s="118">
        <f t="shared" si="2"/>
        <v>0.18328685896928773</v>
      </c>
      <c r="AV23" s="118">
        <f t="shared" si="2"/>
        <v>0.17442929204564581</v>
      </c>
      <c r="AW23" s="118">
        <f t="shared" ref="AW23:AY23" si="4">AW7+AW11</f>
        <v>0.1731612554091943</v>
      </c>
      <c r="AX23" s="118">
        <f t="shared" si="4"/>
        <v>0.17425488305654194</v>
      </c>
      <c r="AY23" s="118">
        <f t="shared" si="4"/>
        <v>0.17943499980477803</v>
      </c>
    </row>
    <row r="24" spans="1:51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  <c r="Q24" s="96"/>
      <c r="R24" s="96"/>
      <c r="S24" s="96"/>
      <c r="T24" s="96"/>
      <c r="U24" s="96"/>
      <c r="V24" s="96"/>
      <c r="W24" s="96"/>
      <c r="X24" s="3"/>
      <c r="Y24" s="3"/>
      <c r="Z24" s="3"/>
      <c r="AA24" s="3"/>
      <c r="AB24" s="3"/>
      <c r="AC24" s="1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4"/>
      <c r="AP24" s="4"/>
      <c r="AQ24" s="4"/>
      <c r="AR24" s="97"/>
      <c r="AS24" s="4"/>
      <c r="AU24" s="4"/>
      <c r="AV24" s="4"/>
      <c r="AW24" s="4"/>
      <c r="AX24" s="4"/>
      <c r="AY24" s="146"/>
    </row>
    <row r="25" spans="1:51" ht="16.5">
      <c r="A25" s="23" t="s">
        <v>67</v>
      </c>
      <c r="B25" s="46" t="s">
        <v>32</v>
      </c>
      <c r="C25" s="24"/>
      <c r="D25" s="24"/>
      <c r="E25" s="129">
        <f>'tab2 lvl'!E25/'tab2 percent'!E55</f>
        <v>0.15186870436548658</v>
      </c>
      <c r="F25" s="129">
        <f>'tab2 lvl'!F25/'tab2 percent'!F55</f>
        <v>0.14394124386867524</v>
      </c>
      <c r="G25" s="129">
        <f>'tab2 lvl'!G25/'tab2 percent'!G55</f>
        <v>0.15129620640574468</v>
      </c>
      <c r="H25" s="129">
        <f>'tab2 lvl'!H25/'tab2 percent'!H55</f>
        <v>0.1310561389803796</v>
      </c>
      <c r="I25" s="129">
        <f>'tab2 lvl'!I25/'tab2 percent'!I55</f>
        <v>0.11286148516972719</v>
      </c>
      <c r="J25" s="129">
        <f>'tab2 lvl'!J25/'tab2 percent'!J55</f>
        <v>0.13932866594457952</v>
      </c>
      <c r="K25" s="129">
        <f>'tab2 lvl'!K25/'tab2 percent'!K55</f>
        <v>0.14035823195258385</v>
      </c>
      <c r="L25" s="129">
        <f>'tab2 lvl'!L25/'tab2 percent'!L55</f>
        <v>0.12200296734586763</v>
      </c>
      <c r="M25" s="129">
        <f>'tab2 lvl'!M25/'tab2 percent'!M55</f>
        <v>0.12097966021174174</v>
      </c>
      <c r="N25" s="129">
        <f>'tab2 lvl'!N25/'tab2 percent'!N55</f>
        <v>0.1152564109014128</v>
      </c>
      <c r="O25" s="129">
        <f>'tab2 lvl'!O25/'tab2 percent'!O55</f>
        <v>0.12077233881293473</v>
      </c>
      <c r="P25" s="129">
        <f>'tab2 lvl'!P25/'tab2 percent'!P55</f>
        <v>0.13432820208005633</v>
      </c>
      <c r="Q25" s="129">
        <f>'tab2 lvl'!Q25/'tab2 percent'!Q55</f>
        <v>0.14141523603051948</v>
      </c>
      <c r="R25" s="129">
        <f>'tab2 lvl'!R25/'tab2 percent'!R55</f>
        <v>0.13303660930060782</v>
      </c>
      <c r="S25" s="129">
        <f>'tab2 lvl'!S25/'tab2 percent'!S55</f>
        <v>0.13353121847167218</v>
      </c>
      <c r="T25" s="129">
        <f>'tab2 lvl'!T25/'tab2 percent'!T55</f>
        <v>0.16004444565357862</v>
      </c>
      <c r="U25" s="129">
        <f>'tab2 lvl'!U25/'tab2 percent'!U55</f>
        <v>0.16117339535970002</v>
      </c>
      <c r="V25" s="129">
        <f>'tab2 lvl'!V25/'tab2 percent'!V55</f>
        <v>0.16289009006001631</v>
      </c>
      <c r="W25" s="129">
        <f>'tab2 lvl'!W25/'tab2 percent'!W55</f>
        <v>0.16971069403387745</v>
      </c>
      <c r="X25" s="129">
        <f>'tab2 lvl'!X25/'tab2 percent'!X55</f>
        <v>0.15661449159383428</v>
      </c>
      <c r="Y25" s="129">
        <f>'tab2 lvl'!Y25/'tab2 percent'!Y55</f>
        <v>0.13380286762723939</v>
      </c>
      <c r="Z25" s="129">
        <f>'tab2 lvl'!Z25/'tab2 percent'!Z55</f>
        <v>0.13186553399466228</v>
      </c>
      <c r="AA25" s="129">
        <f>'tab2 lvl'!AA25/'tab2 percent'!AA55</f>
        <v>0.15068434470341283</v>
      </c>
      <c r="AB25" s="129">
        <f>'tab2 lvl'!AB25/'tab2 percent'!AB55</f>
        <v>0.14612820355681178</v>
      </c>
      <c r="AC25" s="129">
        <f>'tab2 lvl'!AC25/'tab2 percent'!AC55</f>
        <v>0.14413856914435791</v>
      </c>
      <c r="AD25" s="129">
        <f>'tab2 lvl'!AD25/'tab2 percent'!AD55</f>
        <v>0.14050618298796957</v>
      </c>
      <c r="AE25" s="129">
        <f>'tab2 lvl'!AE25/'tab2 percent'!AE55</f>
        <v>0.13982864345832696</v>
      </c>
      <c r="AF25" s="129">
        <f>'tab2 lvl'!AF25/'tab2 percent'!AF55</f>
        <v>0.13694850808191056</v>
      </c>
      <c r="AG25" s="129">
        <f>'tab2 lvl'!AG25/'tab2 percent'!AG55</f>
        <v>0.15546351272806697</v>
      </c>
      <c r="AH25" s="129">
        <f>'tab2 lvl'!AH25/'tab2 percent'!AH55</f>
        <v>0.1616269510586317</v>
      </c>
      <c r="AI25" s="129">
        <f>'tab2 lvl'!AI25/'tab2 percent'!AI55</f>
        <v>0.15350760993497448</v>
      </c>
      <c r="AJ25" s="129">
        <f>'tab2 lvl'!AJ25/'tab2 percent'!AJ55</f>
        <v>0.13818025037242643</v>
      </c>
      <c r="AK25" s="129">
        <f>'tab2 lvl'!AK25/'tab2 percent'!AK55</f>
        <v>0.15251819448805112</v>
      </c>
      <c r="AL25" s="129">
        <f>'tab2 lvl'!AL25/'tab2 percent'!AL55</f>
        <v>0.14653529016676436</v>
      </c>
      <c r="AM25" s="129">
        <f>'tab2 lvl'!AM25/'tab2 percent'!AM55</f>
        <v>0.14591712199139681</v>
      </c>
      <c r="AN25" s="129">
        <f>'tab2 lvl'!AN25/'tab2 percent'!AN55</f>
        <v>0.16647990709615931</v>
      </c>
      <c r="AO25" s="129">
        <f>'tab2 lvl'!AO25/'tab2 percent'!AO55</f>
        <v>0.15204467084649734</v>
      </c>
      <c r="AP25" s="129">
        <f>'tab2 lvl'!AP25/'tab2 percent'!AP55</f>
        <v>0.15907378257848043</v>
      </c>
      <c r="AQ25" s="129">
        <f>'tab2 lvl'!AQ25/'tab2 percent'!AQ55</f>
        <v>0.18384521796386075</v>
      </c>
      <c r="AR25" s="129">
        <f>'tab2 lvl'!AR25/'tab2 percent'!AR55</f>
        <v>0.18109671667667657</v>
      </c>
      <c r="AS25" s="129">
        <f>'tab2 lvl'!AS25/'tab2 percent'!AS55</f>
        <v>0.16955445397729851</v>
      </c>
      <c r="AT25" s="129">
        <f>'tab2 lvl'!AT25/'tab2 percent'!AT55</f>
        <v>0.18132590399175086</v>
      </c>
      <c r="AU25" s="129">
        <f>'tab2 lvl'!AU25/'tab2 percent'!AU55</f>
        <v>0.18252342467387084</v>
      </c>
      <c r="AV25" s="129">
        <f>'tab2 lvl'!AV25/'tab2 percent'!AV55</f>
        <v>0.18252093203796788</v>
      </c>
      <c r="AW25" s="129">
        <f>'tab2 lvl'!AW25/'tab2 percent'!AW55</f>
        <v>0.19459380111135302</v>
      </c>
      <c r="AX25" s="129">
        <f>'tab2 lvl'!AX25/'tab2 percent'!AX55</f>
        <v>0.20079996531881014</v>
      </c>
      <c r="AY25" s="129">
        <f>'tab2 lvl'!AY25/'tab2 percent'!AY55</f>
        <v>0.2006473611070734</v>
      </c>
    </row>
    <row r="26" spans="1:51" ht="16.5">
      <c r="A26" s="11"/>
      <c r="B26" s="62"/>
      <c r="C26" s="12" t="s">
        <v>10</v>
      </c>
      <c r="D26" s="12"/>
      <c r="E26" s="128">
        <f>'tab2 lvl'!E26/'tab2 percent'!E55</f>
        <v>0.15176182203459909</v>
      </c>
      <c r="F26" s="128">
        <f>'tab2 lvl'!F26/'tab2 percent'!F55</f>
        <v>0.14383753556402851</v>
      </c>
      <c r="G26" s="128">
        <f>'tab2 lvl'!G26/'tab2 percent'!G55</f>
        <v>0.15119550606505094</v>
      </c>
      <c r="H26" s="128">
        <f>'tab2 lvl'!H26/'tab2 percent'!H55</f>
        <v>0.13092300576025281</v>
      </c>
      <c r="I26" s="128">
        <f>'tab2 lvl'!I26/'tab2 percent'!I55</f>
        <v>0.11273511339977646</v>
      </c>
      <c r="J26" s="128">
        <f>'tab2 lvl'!J26/'tab2 percent'!J55</f>
        <v>0.13920247397162919</v>
      </c>
      <c r="K26" s="128">
        <f>'tab2 lvl'!K26/'tab2 percent'!K55</f>
        <v>0.14023551329123013</v>
      </c>
      <c r="L26" s="128">
        <f>'tab2 lvl'!L26/'tab2 percent'!L55</f>
        <v>0.12181558678138346</v>
      </c>
      <c r="M26" s="128">
        <f>'tab2 lvl'!M26/'tab2 percent'!M55</f>
        <v>0.12080293555000057</v>
      </c>
      <c r="N26" s="128">
        <f>'tab2 lvl'!N26/'tab2 percent'!N55</f>
        <v>0.1152564109014128</v>
      </c>
      <c r="O26" s="128">
        <f>'tab2 lvl'!O26/'tab2 percent'!O55</f>
        <v>0.12077233881293473</v>
      </c>
      <c r="P26" s="128">
        <f>'tab2 lvl'!P26/'tab2 percent'!P55</f>
        <v>0.13432820208005633</v>
      </c>
      <c r="Q26" s="128">
        <f>'tab2 lvl'!Q26/'tab2 percent'!Q55</f>
        <v>0.14141523603051948</v>
      </c>
      <c r="R26" s="128">
        <f>'tab2 lvl'!R26/'tab2 percent'!R55</f>
        <v>0.13303660930060782</v>
      </c>
      <c r="S26" s="128">
        <f>'tab2 lvl'!S26/'tab2 percent'!S55</f>
        <v>0.13353121847167218</v>
      </c>
      <c r="T26" s="128">
        <f>'tab2 lvl'!T26/'tab2 percent'!T55</f>
        <v>0.16004444565357862</v>
      </c>
      <c r="U26" s="128">
        <f>'tab2 lvl'!U26/'tab2 percent'!U55</f>
        <v>0.16022224965532542</v>
      </c>
      <c r="V26" s="128">
        <f>'tab2 lvl'!V26/'tab2 percent'!V55</f>
        <v>0.16018211007095592</v>
      </c>
      <c r="W26" s="128">
        <f>'tab2 lvl'!W26/'tab2 percent'!W55</f>
        <v>0.16656415395078036</v>
      </c>
      <c r="X26" s="128">
        <f>'tab2 lvl'!X26/'tab2 percent'!X55</f>
        <v>0.15367211555310434</v>
      </c>
      <c r="Y26" s="128">
        <f>'tab2 lvl'!Y26/'tab2 percent'!Y55</f>
        <v>0.13073698307171663</v>
      </c>
      <c r="Z26" s="128">
        <f>'tab2 lvl'!Z26/'tab2 percent'!Z55</f>
        <v>0.12849794539541534</v>
      </c>
      <c r="AA26" s="128">
        <f>'tab2 lvl'!AA26/'tab2 percent'!AA55</f>
        <v>0.14710894077926162</v>
      </c>
      <c r="AB26" s="128">
        <f>'tab2 lvl'!AB26/'tab2 percent'!AB55</f>
        <v>0.14215799021772724</v>
      </c>
      <c r="AC26" s="128">
        <f>'tab2 lvl'!AC26/'tab2 percent'!AC55</f>
        <v>0.1398588589801491</v>
      </c>
      <c r="AD26" s="128">
        <f>'tab2 lvl'!AD26/'tab2 percent'!AD55</f>
        <v>0.13774365519393797</v>
      </c>
      <c r="AE26" s="128">
        <f>'tab2 lvl'!AE26/'tab2 percent'!AE55</f>
        <v>0.13876585909854269</v>
      </c>
      <c r="AF26" s="128">
        <f>'tab2 lvl'!AF26/'tab2 percent'!AF55</f>
        <v>0.13414573626479095</v>
      </c>
      <c r="AG26" s="128">
        <f>'tab2 lvl'!AG26/'tab2 percent'!AG55</f>
        <v>0.15177359130653412</v>
      </c>
      <c r="AH26" s="128">
        <f>'tab2 lvl'!AH26/'tab2 percent'!AH55</f>
        <v>0.15727729167198326</v>
      </c>
      <c r="AI26" s="128">
        <f>'tab2 lvl'!AI26/'tab2 percent'!AI55</f>
        <v>0.14898948052369651</v>
      </c>
      <c r="AJ26" s="128">
        <f>'tab2 lvl'!AJ26/'tab2 percent'!AJ55</f>
        <v>0.13344575063905306</v>
      </c>
      <c r="AK26" s="128">
        <f>'tab2 lvl'!AK26/'tab2 percent'!AK55</f>
        <v>0.14782054619621374</v>
      </c>
      <c r="AL26" s="128">
        <f>'tab2 lvl'!AL26/'tab2 percent'!AL55</f>
        <v>0.1416906381320738</v>
      </c>
      <c r="AM26" s="128">
        <f>'tab2 lvl'!AM26/'tab2 percent'!AM55</f>
        <v>0.14102163010419075</v>
      </c>
      <c r="AN26" s="128">
        <f>'tab2 lvl'!AN26/'tab2 percent'!AN55</f>
        <v>0.16161093951147179</v>
      </c>
      <c r="AO26" s="128">
        <f>'tab2 lvl'!AO26/'tab2 percent'!AO55</f>
        <v>0.14683134972303469</v>
      </c>
      <c r="AP26" s="128">
        <f>'tab2 lvl'!AP26/'tab2 percent'!AP55</f>
        <v>0.15355955412404057</v>
      </c>
      <c r="AQ26" s="128">
        <f>'tab2 lvl'!AQ26/'tab2 percent'!AQ55</f>
        <v>0.17826241939198362</v>
      </c>
      <c r="AR26" s="128">
        <f>'tab2 lvl'!AR26/'tab2 percent'!AR55</f>
        <v>0.17538420877312955</v>
      </c>
      <c r="AS26" s="128">
        <f>'tab2 lvl'!AS26/'tab2 percent'!AS55</f>
        <v>0.16375561342975839</v>
      </c>
      <c r="AT26" s="128">
        <f>'tab2 lvl'!AT26/'tab2 percent'!AT55</f>
        <v>0.17571702286372556</v>
      </c>
      <c r="AU26" s="128">
        <f>'tab2 lvl'!AU26/'tab2 percent'!AU55</f>
        <v>0.17674293780506742</v>
      </c>
      <c r="AV26" s="128">
        <f>'tab2 lvl'!AV26/'tab2 percent'!AV55</f>
        <v>0.17668089076841989</v>
      </c>
      <c r="AW26" s="128">
        <f>'tab2 lvl'!AW26/'tab2 percent'!AW55</f>
        <v>0.18862170445071297</v>
      </c>
      <c r="AX26" s="128">
        <f>'tab2 lvl'!AX26/'tab2 percent'!AX55</f>
        <v>0.19485791565370558</v>
      </c>
      <c r="AY26" s="128">
        <f>'tab2 lvl'!AY26/'tab2 percent'!AY55</f>
        <v>0.19455125182064953</v>
      </c>
    </row>
    <row r="27" spans="1:51" ht="16.5">
      <c r="A27" s="2"/>
      <c r="B27" s="2"/>
      <c r="C27" s="2"/>
      <c r="D27" s="2" t="s">
        <v>68</v>
      </c>
      <c r="E27" s="118">
        <f>'tab2 lvl'!E27/'tab2 percent'!E55</f>
        <v>6.9720957634834768E-2</v>
      </c>
      <c r="F27" s="118">
        <f>'tab2 lvl'!F27/'tab2 percent'!F55</f>
        <v>6.7425988565270753E-2</v>
      </c>
      <c r="G27" s="118">
        <f>'tab2 lvl'!G27/'tab2 percent'!G55</f>
        <v>6.6297923239656512E-2</v>
      </c>
      <c r="H27" s="118">
        <f>'tab2 lvl'!H27/'tab2 percent'!H55</f>
        <v>6.1354162292852073E-2</v>
      </c>
      <c r="I27" s="118">
        <f>'tab2 lvl'!I27/'tab2 percent'!I55</f>
        <v>3.3962413174257022E-2</v>
      </c>
      <c r="J27" s="118">
        <f>'tab2 lvl'!J27/'tab2 percent'!J55</f>
        <v>5.3384198767302896E-2</v>
      </c>
      <c r="K27" s="118">
        <f>'tab2 lvl'!K27/'tab2 percent'!K55</f>
        <v>5.1673017911525156E-2</v>
      </c>
      <c r="L27" s="118">
        <f>'tab2 lvl'!L27/'tab2 percent'!L55</f>
        <v>4.9376953898991681E-2</v>
      </c>
      <c r="M27" s="118">
        <f>'tab2 lvl'!M27/'tab2 percent'!M55</f>
        <v>3.5827251986436007E-2</v>
      </c>
      <c r="N27" s="118">
        <f>'tab2 lvl'!N27/'tab2 percent'!N55</f>
        <v>3.4486089466625756E-2</v>
      </c>
      <c r="O27" s="118">
        <f>'tab2 lvl'!O27/'tab2 percent'!O55</f>
        <v>4.0630076304746361E-2</v>
      </c>
      <c r="P27" s="118">
        <f>'tab2 lvl'!P27/'tab2 percent'!P55</f>
        <v>5.5004204168385515E-2</v>
      </c>
      <c r="Q27" s="118">
        <f>'tab2 lvl'!Q27/'tab2 percent'!Q55</f>
        <v>6.1171932341857256E-2</v>
      </c>
      <c r="R27" s="118">
        <f>'tab2 lvl'!R27/'tab2 percent'!R55</f>
        <v>6.1410610991123049E-2</v>
      </c>
      <c r="S27" s="118">
        <f>'tab2 lvl'!S27/'tab2 percent'!S55</f>
        <v>6.2296027597380323E-2</v>
      </c>
      <c r="T27" s="118">
        <f>'tab2 lvl'!T27/'tab2 percent'!T55</f>
        <v>6.9043850752119523E-2</v>
      </c>
      <c r="U27" s="118">
        <f>'tab2 lvl'!U27/'tab2 percent'!U55</f>
        <v>7.1071108503124591E-2</v>
      </c>
      <c r="V27" s="118">
        <f>'tab2 lvl'!V27/'tab2 percent'!V55</f>
        <v>6.7786989031458952E-2</v>
      </c>
      <c r="W27" s="118">
        <f>'tab2 lvl'!W27/'tab2 percent'!W55</f>
        <v>6.2591548471298511E-2</v>
      </c>
      <c r="X27" s="118">
        <f>'tab2 lvl'!X27/'tab2 percent'!X55</f>
        <v>5.7946589926074703E-2</v>
      </c>
      <c r="Y27" s="118">
        <f>'tab2 lvl'!Y27/'tab2 percent'!Y55</f>
        <v>4.9322954545803509E-2</v>
      </c>
      <c r="Z27" s="118">
        <f>'tab2 lvl'!Z27/'tab2 percent'!Z55</f>
        <v>4.9041824401113245E-2</v>
      </c>
      <c r="AA27" s="118">
        <f>'tab2 lvl'!AA27/'tab2 percent'!AA55</f>
        <v>5.2189881553576345E-2</v>
      </c>
      <c r="AB27" s="118">
        <f>'tab2 lvl'!AB27/'tab2 percent'!AB55</f>
        <v>4.9656478834229592E-2</v>
      </c>
      <c r="AC27" s="118">
        <f>'tab2 lvl'!AC27/'tab2 percent'!AC55</f>
        <v>4.8763142330853534E-2</v>
      </c>
      <c r="AD27" s="118">
        <f>'tab2 lvl'!AD27/'tab2 percent'!AD55</f>
        <v>4.6560561732007025E-2</v>
      </c>
      <c r="AE27" s="118">
        <f>'tab2 lvl'!AE27/'tab2 percent'!AE55</f>
        <v>4.5622997365930416E-2</v>
      </c>
      <c r="AF27" s="118">
        <f>'tab2 lvl'!AF27/'tab2 percent'!AF55</f>
        <v>4.5831167504120626E-2</v>
      </c>
      <c r="AG27" s="118">
        <f>'tab2 lvl'!AG27/'tab2 percent'!AG55</f>
        <v>4.3314477793498278E-2</v>
      </c>
      <c r="AH27" s="118">
        <f>'tab2 lvl'!AH27/'tab2 percent'!AH55</f>
        <v>4.2204303140334749E-2</v>
      </c>
      <c r="AI27" s="118">
        <f>'tab2 lvl'!AI27/'tab2 percent'!AI55</f>
        <v>4.1955116405128876E-2</v>
      </c>
      <c r="AJ27" s="118">
        <f>'tab2 lvl'!AJ27/'tab2 percent'!AJ55</f>
        <v>4.0561031435571888E-2</v>
      </c>
      <c r="AK27" s="118">
        <f>'tab2 lvl'!AK27/'tab2 percent'!AK55</f>
        <v>3.8931189486878792E-2</v>
      </c>
      <c r="AL27" s="118">
        <f>'tab2 lvl'!AL27/'tab2 percent'!AL55</f>
        <v>3.8547685193639589E-2</v>
      </c>
      <c r="AM27" s="118">
        <f>'tab2 lvl'!AM27/'tab2 percent'!AM55</f>
        <v>3.7787756165271143E-2</v>
      </c>
      <c r="AN27" s="118">
        <f>'tab2 lvl'!AN27/'tab2 percent'!AN55</f>
        <v>3.96332234298944E-2</v>
      </c>
      <c r="AO27" s="118">
        <f>'tab2 lvl'!AO27/'tab2 percent'!AO55</f>
        <v>4.0744183889925699E-2</v>
      </c>
      <c r="AP27" s="118">
        <f>'tab2 lvl'!AP27/'tab2 percent'!AP55</f>
        <v>3.9750569285230464E-2</v>
      </c>
      <c r="AQ27" s="118">
        <f>'tab2 lvl'!AQ27/'tab2 percent'!AQ55</f>
        <v>3.9089955840820874E-2</v>
      </c>
      <c r="AR27" s="118">
        <f>'tab2 lvl'!AR27/'tab2 percent'!AR55</f>
        <v>3.9584879459753461E-2</v>
      </c>
      <c r="AS27" s="118">
        <f>'tab2 lvl'!AS27/'tab2 percent'!AS55</f>
        <v>4.0849477710128063E-2</v>
      </c>
      <c r="AT27" s="118">
        <f>'tab2 lvl'!AT27/'tab2 percent'!AT55</f>
        <v>3.9698053969710163E-2</v>
      </c>
      <c r="AU27" s="118">
        <f>'tab2 lvl'!AU27/'tab2 percent'!AU55</f>
        <v>3.994667825990153E-2</v>
      </c>
      <c r="AV27" s="118">
        <f>'tab2 lvl'!AV27/'tab2 percent'!AV55</f>
        <v>4.1135083418652414E-2</v>
      </c>
      <c r="AW27" s="118">
        <f>'tab2 lvl'!AW27/'tab2 percent'!AW55</f>
        <v>4.2171211895087303E-2</v>
      </c>
      <c r="AX27" s="118">
        <f>'tab2 lvl'!AX27/'tab2 percent'!AX55</f>
        <v>3.8880113287528807E-2</v>
      </c>
      <c r="AY27" s="118">
        <f>'tab2 lvl'!AY27/'tab2 percent'!AY55</f>
        <v>3.8903166283993797E-2</v>
      </c>
    </row>
    <row r="28" spans="1:51" ht="16.5">
      <c r="A28" s="2"/>
      <c r="B28" s="2"/>
      <c r="C28" s="2"/>
      <c r="D28" s="2" t="s">
        <v>69</v>
      </c>
      <c r="E28" s="118">
        <f>'tab2 lvl'!E28/'tab2 percent'!E55</f>
        <v>2.0106046810561832E-2</v>
      </c>
      <c r="F28" s="118">
        <f>'tab2 lvl'!F28/'tab2 percent'!F55</f>
        <v>1.7513378766259899E-2</v>
      </c>
      <c r="G28" s="118">
        <f>'tab2 lvl'!G28/'tab2 percent'!G55</f>
        <v>2.766484003905292E-2</v>
      </c>
      <c r="H28" s="118">
        <f>'tab2 lvl'!H28/'tab2 percent'!H55</f>
        <v>1.1774390261764869E-2</v>
      </c>
      <c r="I28" s="118">
        <f>'tab2 lvl'!I28/'tab2 percent'!I55</f>
        <v>2.3505836013932184E-2</v>
      </c>
      <c r="J28" s="118">
        <f>'tab2 lvl'!J28/'tab2 percent'!J55</f>
        <v>2.7926727337336373E-2</v>
      </c>
      <c r="K28" s="118">
        <f>'tab2 lvl'!K28/'tab2 percent'!K55</f>
        <v>3.0488511953337561E-2</v>
      </c>
      <c r="L28" s="118">
        <f>'tab2 lvl'!L28/'tab2 percent'!L55</f>
        <v>1.5028840649905333E-2</v>
      </c>
      <c r="M28" s="118">
        <f>'tab2 lvl'!M28/'tab2 percent'!M55</f>
        <v>2.6831389979972579E-2</v>
      </c>
      <c r="N28" s="118">
        <f>'tab2 lvl'!N28/'tab2 percent'!N55</f>
        <v>2.3671519663013989E-2</v>
      </c>
      <c r="O28" s="118">
        <f>'tab2 lvl'!O28/'tab2 percent'!O55</f>
        <v>2.1929472851476263E-2</v>
      </c>
      <c r="P28" s="118">
        <f>'tab2 lvl'!P28/'tab2 percent'!P55</f>
        <v>1.7301432574563194E-2</v>
      </c>
      <c r="Q28" s="118">
        <f>'tab2 lvl'!Q28/'tab2 percent'!Q55</f>
        <v>1.8669396519562436E-2</v>
      </c>
      <c r="R28" s="118">
        <f>'tab2 lvl'!R28/'tab2 percent'!R55</f>
        <v>1.6945163137921448E-2</v>
      </c>
      <c r="S28" s="118">
        <f>'tab2 lvl'!S28/'tab2 percent'!S55</f>
        <v>1.5941984894932031E-2</v>
      </c>
      <c r="T28" s="118">
        <f>'tab2 lvl'!T28/'tab2 percent'!T55</f>
        <v>2.4286490052332022E-2</v>
      </c>
      <c r="U28" s="118">
        <f>'tab2 lvl'!U28/'tab2 percent'!U55</f>
        <v>2.2877545980099522E-2</v>
      </c>
      <c r="V28" s="118">
        <f>'tab2 lvl'!V28/'tab2 percent'!V55</f>
        <v>2.5053630255041658E-2</v>
      </c>
      <c r="W28" s="118">
        <f>'tab2 lvl'!W28/'tab2 percent'!W55</f>
        <v>2.4612486379982198E-2</v>
      </c>
      <c r="X28" s="118">
        <f>'tab2 lvl'!X28/'tab2 percent'!X55</f>
        <v>1.837867928142602E-2</v>
      </c>
      <c r="Y28" s="118">
        <f>'tab2 lvl'!Y28/'tab2 percent'!Y55</f>
        <v>9.865102717343182E-3</v>
      </c>
      <c r="Z28" s="118">
        <f>'tab2 lvl'!Z28/'tab2 percent'!Z55</f>
        <v>8.5140379315069223E-3</v>
      </c>
      <c r="AA28" s="118">
        <f>'tab2 lvl'!AA28/'tab2 percent'!AA55</f>
        <v>1.642609050813864E-2</v>
      </c>
      <c r="AB28" s="118">
        <f>'tab2 lvl'!AB28/'tab2 percent'!AB55</f>
        <v>1.7910221634476236E-2</v>
      </c>
      <c r="AC28" s="118">
        <f>'tab2 lvl'!AC28/'tab2 percent'!AC55</f>
        <v>1.5323900325708475E-2</v>
      </c>
      <c r="AD28" s="118">
        <f>'tab2 lvl'!AD28/'tab2 percent'!AD55</f>
        <v>1.6451726155646579E-2</v>
      </c>
      <c r="AE28" s="118">
        <f>'tab2 lvl'!AE28/'tab2 percent'!AE55</f>
        <v>2.2038382156744245E-2</v>
      </c>
      <c r="AF28" s="118">
        <f>'tab2 lvl'!AF28/'tab2 percent'!AF55</f>
        <v>1.2233047666013587E-2</v>
      </c>
      <c r="AG28" s="118">
        <f>'tab2 lvl'!AG28/'tab2 percent'!AG55</f>
        <v>2.031385918617731E-2</v>
      </c>
      <c r="AH28" s="118">
        <f>'tab2 lvl'!AH28/'tab2 percent'!AH55</f>
        <v>3.3107481202462007E-2</v>
      </c>
      <c r="AI28" s="118">
        <f>'tab2 lvl'!AI28/'tab2 percent'!AI55</f>
        <v>3.0873564034319314E-2</v>
      </c>
      <c r="AJ28" s="118">
        <f>'tab2 lvl'!AJ28/'tab2 percent'!AJ55</f>
        <v>6.1905581524655156E-3</v>
      </c>
      <c r="AK28" s="118">
        <f>'tab2 lvl'!AK28/'tab2 percent'!AK55</f>
        <v>2.9737753832681093E-2</v>
      </c>
      <c r="AL28" s="118">
        <f>'tab2 lvl'!AL28/'tab2 percent'!AL55</f>
        <v>2.5775538933162041E-2</v>
      </c>
      <c r="AM28" s="118">
        <f>'tab2 lvl'!AM28/'tab2 percent'!AM55</f>
        <v>2.079758127303442E-2</v>
      </c>
      <c r="AN28" s="118">
        <f>'tab2 lvl'!AN28/'tab2 percent'!AN55</f>
        <v>3.2275080723209511E-2</v>
      </c>
      <c r="AO28" s="118">
        <f>'tab2 lvl'!AO28/'tab2 percent'!AO55</f>
        <v>1.7955001217123186E-2</v>
      </c>
      <c r="AP28" s="118">
        <f>'tab2 lvl'!AP28/'tab2 percent'!AP55</f>
        <v>3.0813022639061636E-2</v>
      </c>
      <c r="AQ28" s="118">
        <f>'tab2 lvl'!AQ28/'tab2 percent'!AQ55</f>
        <v>4.2354262051396606E-2</v>
      </c>
      <c r="AR28" s="118">
        <f>'tab2 lvl'!AR28/'tab2 percent'!AR55</f>
        <v>3.5719960500025731E-2</v>
      </c>
      <c r="AS28" s="118">
        <f>'tab2 lvl'!AS28/'tab2 percent'!AS55</f>
        <v>2.8303252430290218E-2</v>
      </c>
      <c r="AT28" s="118">
        <f>'tab2 lvl'!AT28/'tab2 percent'!AT55</f>
        <v>3.2304511907387271E-2</v>
      </c>
      <c r="AU28" s="118">
        <f>'tab2 lvl'!AU28/'tab2 percent'!AU55</f>
        <v>3.8677653950540021E-2</v>
      </c>
      <c r="AV28" s="118">
        <f>'tab2 lvl'!AV28/'tab2 percent'!AV55</f>
        <v>3.2840992645895635E-2</v>
      </c>
      <c r="AW28" s="118">
        <f>'tab2 lvl'!AW28/'tab2 percent'!AW55</f>
        <v>3.7402244067962581E-2</v>
      </c>
      <c r="AX28" s="118">
        <f>'tab2 lvl'!AX28/'tab2 percent'!AX55</f>
        <v>4.0726588940891179E-2</v>
      </c>
      <c r="AY28" s="118">
        <f>'tab2 lvl'!AY28/'tab2 percent'!AY55</f>
        <v>4.1537525070683409E-2</v>
      </c>
    </row>
    <row r="29" spans="1:51" ht="16.5">
      <c r="A29" s="2"/>
      <c r="B29" s="2"/>
      <c r="C29" s="2"/>
      <c r="D29" s="41" t="s">
        <v>70</v>
      </c>
      <c r="E29" s="132">
        <f>'tab2 lvl'!E29/'tab2 percent'!E55</f>
        <v>2.6236265866852335E-2</v>
      </c>
      <c r="F29" s="132">
        <f>'tab2 lvl'!F29/'tab2 percent'!F55</f>
        <v>2.4039242025124474E-2</v>
      </c>
      <c r="G29" s="132">
        <f>'tab2 lvl'!G29/'tab2 percent'!G55</f>
        <v>2.4329646370034291E-2</v>
      </c>
      <c r="H29" s="132">
        <f>'tab2 lvl'!H29/'tab2 percent'!H55</f>
        <v>2.538162089744328E-2</v>
      </c>
      <c r="I29" s="132">
        <f>'tab2 lvl'!I29/'tab2 percent'!I55</f>
        <v>2.3478445924844282E-2</v>
      </c>
      <c r="J29" s="132">
        <f>'tab2 lvl'!J29/'tab2 percent'!J55</f>
        <v>2.4886620309017161E-2</v>
      </c>
      <c r="K29" s="132">
        <f>'tab2 lvl'!K29/'tab2 percent'!K55</f>
        <v>2.5227057607651066E-2</v>
      </c>
      <c r="L29" s="132">
        <f>'tab2 lvl'!L29/'tab2 percent'!L55</f>
        <v>2.7390378230813261E-2</v>
      </c>
      <c r="M29" s="132">
        <f>'tab2 lvl'!M29/'tab2 percent'!M55</f>
        <v>2.6118123340631638E-2</v>
      </c>
      <c r="N29" s="132">
        <f>'tab2 lvl'!N29/'tab2 percent'!N55</f>
        <v>2.6558037158928811E-2</v>
      </c>
      <c r="O29" s="132">
        <f>'tab2 lvl'!O29/'tab2 percent'!O55</f>
        <v>2.7236631122373331E-2</v>
      </c>
      <c r="P29" s="132">
        <f>'tab2 lvl'!P29/'tab2 percent'!P55</f>
        <v>2.8784691564889858E-2</v>
      </c>
      <c r="Q29" s="132">
        <f>'tab2 lvl'!Q29/'tab2 percent'!Q55</f>
        <v>2.9459903412409779E-2</v>
      </c>
      <c r="R29" s="132">
        <f>'tab2 lvl'!R29/'tab2 percent'!R55</f>
        <v>2.8308454037805526E-2</v>
      </c>
      <c r="S29" s="132">
        <f>'tab2 lvl'!S29/'tab2 percent'!S55</f>
        <v>2.9454919824790277E-2</v>
      </c>
      <c r="T29" s="132">
        <f>'tab2 lvl'!T29/'tab2 percent'!T55</f>
        <v>2.9996724080374067E-2</v>
      </c>
      <c r="U29" s="132">
        <f>'tab2 lvl'!U29/'tab2 percent'!U55</f>
        <v>2.9522991080600764E-2</v>
      </c>
      <c r="V29" s="132">
        <f>'tab2 lvl'!V29/'tab2 percent'!V55</f>
        <v>3.1685427037364135E-2</v>
      </c>
      <c r="W29" s="132">
        <f>'tab2 lvl'!W29/'tab2 percent'!W55</f>
        <v>3.0715168342754812E-2</v>
      </c>
      <c r="X29" s="132">
        <f>'tab2 lvl'!X29/'tab2 percent'!X55</f>
        <v>3.4016853987156682E-2</v>
      </c>
      <c r="Y29" s="132">
        <f>'tab2 lvl'!Y29/'tab2 percent'!Y55</f>
        <v>3.2929229211759101E-2</v>
      </c>
      <c r="Z29" s="132">
        <f>'tab2 lvl'!Z29/'tab2 percent'!Z55</f>
        <v>3.5088702828683933E-2</v>
      </c>
      <c r="AA29" s="132">
        <f>'tab2 lvl'!AA29/'tab2 percent'!AA55</f>
        <v>4.1392218187114325E-2</v>
      </c>
      <c r="AB29" s="132">
        <f>'tab2 lvl'!AB29/'tab2 percent'!AB55</f>
        <v>3.6358786530466744E-2</v>
      </c>
      <c r="AC29" s="132">
        <f>'tab2 lvl'!AC29/'tab2 percent'!AC55</f>
        <v>3.4245914130522866E-2</v>
      </c>
      <c r="AD29" s="132">
        <f>'tab2 lvl'!AD29/'tab2 percent'!AD55</f>
        <v>3.3334308952603864E-2</v>
      </c>
      <c r="AE29" s="132">
        <f>'tab2 lvl'!AE29/'tab2 percent'!AE55</f>
        <v>3.2572801806219139E-2</v>
      </c>
      <c r="AF29" s="132">
        <f>'tab2 lvl'!AF29/'tab2 percent'!AF55</f>
        <v>3.7051597826618148E-2</v>
      </c>
      <c r="AG29" s="132">
        <f>'tab2 lvl'!AG29/'tab2 percent'!AG55</f>
        <v>3.9763893673508258E-2</v>
      </c>
      <c r="AH29" s="132">
        <f>'tab2 lvl'!AH29/'tab2 percent'!AH55</f>
        <v>4.0495043800461435E-2</v>
      </c>
      <c r="AI29" s="132">
        <f>'tab2 lvl'!AI29/'tab2 percent'!AI55</f>
        <v>4.0148649054492502E-2</v>
      </c>
      <c r="AJ29" s="132">
        <f>'tab2 lvl'!AJ29/'tab2 percent'!AJ55</f>
        <v>4.3815662276932607E-2</v>
      </c>
      <c r="AK29" s="132">
        <f>'tab2 lvl'!AK29/'tab2 percent'!AK55</f>
        <v>3.8510117990688368E-2</v>
      </c>
      <c r="AL29" s="132">
        <f>'tab2 lvl'!AL29/'tab2 percent'!AL55</f>
        <v>3.6549061159415912E-2</v>
      </c>
      <c r="AM29" s="132">
        <f>'tab2 lvl'!AM29/'tab2 percent'!AM55</f>
        <v>3.7831786398581778E-2</v>
      </c>
      <c r="AN29" s="132">
        <f>'tab2 lvl'!AN29/'tab2 percent'!AN55</f>
        <v>4.3678429374092012E-2</v>
      </c>
      <c r="AO29" s="132">
        <f>'tab2 lvl'!AO29/'tab2 percent'!AO55</f>
        <v>4.3725421646246043E-2</v>
      </c>
      <c r="AP29" s="132">
        <f>'tab2 lvl'!AP29/'tab2 percent'!AP55</f>
        <v>4.0316622983492131E-2</v>
      </c>
      <c r="AQ29" s="132">
        <f>'tab2 lvl'!AQ29/'tab2 percent'!AQ55</f>
        <v>4.8260162096119823E-2</v>
      </c>
      <c r="AR29" s="132">
        <f>'tab2 lvl'!AR29/'tab2 percent'!AR55</f>
        <v>4.9680545950776138E-2</v>
      </c>
      <c r="AS29" s="132">
        <f>'tab2 lvl'!AS29/'tab2 percent'!AS55</f>
        <v>4.8887894139930214E-2</v>
      </c>
      <c r="AT29" s="132">
        <f>'tab2 lvl'!AT29/'tab2 percent'!AT55</f>
        <v>5.4760985616794738E-2</v>
      </c>
      <c r="AU29" s="132">
        <f>'tab2 lvl'!AU29/'tab2 percent'!AU55</f>
        <v>5.2626479490449407E-2</v>
      </c>
      <c r="AV29" s="132">
        <f>'tab2 lvl'!AV29/'tab2 percent'!AV55</f>
        <v>5.7459562550384667E-2</v>
      </c>
      <c r="AW29" s="132">
        <f>'tab2 lvl'!AW29/'tab2 percent'!AW55</f>
        <v>5.8972706801056998E-2</v>
      </c>
      <c r="AX29" s="132">
        <f>'tab2 lvl'!AX29/'tab2 percent'!AX55</f>
        <v>6.0360439914725839E-2</v>
      </c>
      <c r="AY29" s="132">
        <f>'tab2 lvl'!AY29/'tab2 percent'!AY55</f>
        <v>5.859597149976465E-2</v>
      </c>
    </row>
    <row r="30" spans="1:51" ht="16.5">
      <c r="A30" s="2"/>
      <c r="B30" s="2"/>
      <c r="C30" s="2"/>
      <c r="D30" s="41" t="s">
        <v>71</v>
      </c>
      <c r="E30" s="118">
        <f>'tab2 lvl'!E30/'tab2 percent'!E55</f>
        <v>0</v>
      </c>
      <c r="F30" s="118">
        <f>'tab2 lvl'!F30/'tab2 percent'!F55</f>
        <v>0</v>
      </c>
      <c r="G30" s="118">
        <f>'tab2 lvl'!G30/'tab2 percent'!G55</f>
        <v>0</v>
      </c>
      <c r="H30" s="118">
        <f>'tab2 lvl'!H30/'tab2 percent'!H55</f>
        <v>0</v>
      </c>
      <c r="I30" s="118">
        <f>'tab2 lvl'!I30/'tab2 percent'!I55</f>
        <v>0</v>
      </c>
      <c r="J30" s="118">
        <f>'tab2 lvl'!J30/'tab2 percent'!J55</f>
        <v>0</v>
      </c>
      <c r="K30" s="118">
        <f>'tab2 lvl'!K30/'tab2 percent'!K55</f>
        <v>0</v>
      </c>
      <c r="L30" s="118">
        <f>'tab2 lvl'!L30/'tab2 percent'!L55</f>
        <v>0</v>
      </c>
      <c r="M30" s="118">
        <f>'tab2 lvl'!M30/'tab2 percent'!M55</f>
        <v>0</v>
      </c>
      <c r="N30" s="118">
        <f>'tab2 lvl'!N30/'tab2 percent'!N55</f>
        <v>0</v>
      </c>
      <c r="O30" s="118">
        <f>'tab2 lvl'!O30/'tab2 percent'!O55</f>
        <v>0</v>
      </c>
      <c r="P30" s="118">
        <f>'tab2 lvl'!P30/'tab2 percent'!P55</f>
        <v>0</v>
      </c>
      <c r="Q30" s="118">
        <f>'tab2 lvl'!Q30/'tab2 percent'!Q55</f>
        <v>0</v>
      </c>
      <c r="R30" s="118">
        <f>'tab2 lvl'!R30/'tab2 percent'!R55</f>
        <v>0</v>
      </c>
      <c r="S30" s="118">
        <f>'tab2 lvl'!S30/'tab2 percent'!S55</f>
        <v>0</v>
      </c>
      <c r="T30" s="118">
        <f>'tab2 lvl'!T30/'tab2 percent'!T55</f>
        <v>0</v>
      </c>
      <c r="U30" s="118">
        <f>'tab2 lvl'!U30/'tab2 percent'!U55</f>
        <v>0</v>
      </c>
      <c r="V30" s="118">
        <f>'tab2 lvl'!V30/'tab2 percent'!V55</f>
        <v>0</v>
      </c>
      <c r="W30" s="118">
        <f>'tab2 lvl'!W30/'tab2 percent'!W55</f>
        <v>0</v>
      </c>
      <c r="X30" s="118">
        <f>'tab2 lvl'!X30/'tab2 percent'!X55</f>
        <v>0</v>
      </c>
      <c r="Y30" s="118">
        <f>'tab2 lvl'!Y30/'tab2 percent'!Y55</f>
        <v>0</v>
      </c>
      <c r="Z30" s="118">
        <f>'tab2 lvl'!Z30/'tab2 percent'!Z55</f>
        <v>0</v>
      </c>
      <c r="AA30" s="118">
        <f>'tab2 lvl'!AA30/'tab2 percent'!AA55</f>
        <v>0</v>
      </c>
      <c r="AB30" s="118">
        <f>'tab2 lvl'!AB30/'tab2 percent'!AB55</f>
        <v>0</v>
      </c>
      <c r="AC30" s="118">
        <f>'tab2 lvl'!AC30/'tab2 percent'!AC55</f>
        <v>0</v>
      </c>
      <c r="AD30" s="118">
        <f>'tab2 lvl'!AD30/'tab2 percent'!AD55</f>
        <v>0</v>
      </c>
      <c r="AE30" s="118">
        <f>'tab2 lvl'!AE30/'tab2 percent'!AE55</f>
        <v>0</v>
      </c>
      <c r="AF30" s="118">
        <f>'tab2 lvl'!AF30/'tab2 percent'!AF55</f>
        <v>0</v>
      </c>
      <c r="AG30" s="118">
        <f>'tab2 lvl'!AG30/'tab2 percent'!AG55</f>
        <v>0</v>
      </c>
      <c r="AH30" s="118">
        <f>'tab2 lvl'!AH30/'tab2 percent'!AH55</f>
        <v>0</v>
      </c>
      <c r="AI30" s="118">
        <f>'tab2 lvl'!AI30/'tab2 percent'!AI55</f>
        <v>0</v>
      </c>
      <c r="AJ30" s="118">
        <f>'tab2 lvl'!AJ30/'tab2 percent'!AJ55</f>
        <v>0</v>
      </c>
      <c r="AK30" s="118">
        <f>'tab2 lvl'!AK30/'tab2 percent'!AK55</f>
        <v>0</v>
      </c>
      <c r="AL30" s="118">
        <f>'tab2 lvl'!AL30/'tab2 percent'!AL55</f>
        <v>0</v>
      </c>
      <c r="AM30" s="118">
        <f>'tab2 lvl'!AM30/'tab2 percent'!AM55</f>
        <v>0</v>
      </c>
      <c r="AN30" s="118">
        <f>'tab2 lvl'!AN30/'tab2 percent'!AN55</f>
        <v>0</v>
      </c>
      <c r="AO30" s="118">
        <f>'tab2 lvl'!AO30/'tab2 percent'!AO55</f>
        <v>0</v>
      </c>
      <c r="AP30" s="118">
        <f>'tab2 lvl'!AP30/'tab2 percent'!AP55</f>
        <v>0</v>
      </c>
      <c r="AQ30" s="118">
        <f>'tab2 lvl'!AQ30/'tab2 percent'!AQ55</f>
        <v>0</v>
      </c>
      <c r="AR30" s="118">
        <f>'tab2 lvl'!AR30/'tab2 percent'!AR55</f>
        <v>0</v>
      </c>
      <c r="AS30" s="118">
        <f>'tab2 lvl'!AS30/'tab2 percent'!AS55</f>
        <v>0</v>
      </c>
      <c r="AT30" s="118">
        <f>'tab2 lvl'!AT30/'tab2 percent'!AT55</f>
        <v>0</v>
      </c>
      <c r="AU30" s="118">
        <f>'tab2 lvl'!AU30/'tab2 percent'!AU55</f>
        <v>0</v>
      </c>
      <c r="AV30" s="118">
        <f>'tab2 lvl'!AV30/'tab2 percent'!AV55</f>
        <v>0</v>
      </c>
      <c r="AW30" s="118">
        <f>'tab2 lvl'!AW30/'tab2 percent'!AW55</f>
        <v>0</v>
      </c>
      <c r="AX30" s="118">
        <f>'tab2 lvl'!AX30/'tab2 percent'!AX55</f>
        <v>0</v>
      </c>
      <c r="AY30" s="118">
        <f>'tab2 lvl'!AY30/'tab2 percent'!AY55</f>
        <v>0</v>
      </c>
    </row>
    <row r="31" spans="1:51" ht="16.5">
      <c r="A31" s="2"/>
      <c r="B31" s="2"/>
      <c r="C31" s="2"/>
      <c r="D31" s="41" t="s">
        <v>72</v>
      </c>
      <c r="E31" s="118">
        <f>'tab2 lvl'!E31/'tab2 percent'!E55</f>
        <v>2.7071072786674522E-3</v>
      </c>
      <c r="F31" s="118">
        <f>'tab2 lvl'!F31/'tab2 percent'!F55</f>
        <v>2.7317337018522396E-3</v>
      </c>
      <c r="G31" s="118">
        <f>'tab2 lvl'!G31/'tab2 percent'!G55</f>
        <v>2.3944841484261257E-3</v>
      </c>
      <c r="H31" s="118">
        <f>'tab2 lvl'!H31/'tab2 percent'!H55</f>
        <v>2.7667766508118934E-3</v>
      </c>
      <c r="I31" s="118">
        <f>'tab2 lvl'!I31/'tab2 percent'!I55</f>
        <v>2.618761133125906E-3</v>
      </c>
      <c r="J31" s="118">
        <f>'tab2 lvl'!J31/'tab2 percent'!J55</f>
        <v>2.7658079720948086E-3</v>
      </c>
      <c r="K31" s="118">
        <f>'tab2 lvl'!K31/'tab2 percent'!K55</f>
        <v>3.2636496200124368E-3</v>
      </c>
      <c r="L31" s="118">
        <f>'tab2 lvl'!L31/'tab2 percent'!L55</f>
        <v>2.8421117520144425E-3</v>
      </c>
      <c r="M31" s="118">
        <f>'tab2 lvl'!M31/'tab2 percent'!M55</f>
        <v>3.3481393447181364E-3</v>
      </c>
      <c r="N31" s="118">
        <f>'tab2 lvl'!N31/'tab2 percent'!N55</f>
        <v>3.2797108123767565E-3</v>
      </c>
      <c r="O31" s="118">
        <f>'tab2 lvl'!O31/'tab2 percent'!O55</f>
        <v>3.121480442346925E-3</v>
      </c>
      <c r="P31" s="118">
        <f>'tab2 lvl'!P31/'tab2 percent'!P55</f>
        <v>3.1422750219776033E-3</v>
      </c>
      <c r="Q31" s="118">
        <f>'tab2 lvl'!Q31/'tab2 percent'!Q55</f>
        <v>9.2329219509956449E-3</v>
      </c>
      <c r="R31" s="118">
        <f>'tab2 lvl'!R31/'tab2 percent'!R55</f>
        <v>3.6096090189070263E-3</v>
      </c>
      <c r="S31" s="118">
        <f>'tab2 lvl'!S31/'tab2 percent'!S55</f>
        <v>3.4578746843665947E-3</v>
      </c>
      <c r="T31" s="118">
        <f>'tab2 lvl'!T31/'tab2 percent'!T55</f>
        <v>1.1533819517720215E-2</v>
      </c>
      <c r="U31" s="118">
        <f>'tab2 lvl'!U31/'tab2 percent'!U55</f>
        <v>1.4290361699831526E-2</v>
      </c>
      <c r="V31" s="118">
        <f>'tab2 lvl'!V31/'tab2 percent'!V55</f>
        <v>1.6401668221266652E-2</v>
      </c>
      <c r="W31" s="118">
        <f>'tab2 lvl'!W31/'tab2 percent'!W55</f>
        <v>2.9804164432695492E-2</v>
      </c>
      <c r="X31" s="118">
        <f>'tab2 lvl'!X31/'tab2 percent'!X55</f>
        <v>2.1797877787093037E-2</v>
      </c>
      <c r="Y31" s="118">
        <f>'tab2 lvl'!Y31/'tab2 percent'!Y55</f>
        <v>1.6290521773087797E-2</v>
      </c>
      <c r="Z31" s="118">
        <f>'tab2 lvl'!Z31/'tab2 percent'!Z55</f>
        <v>1.8346067744747136E-2</v>
      </c>
      <c r="AA31" s="118">
        <f>'tab2 lvl'!AA31/'tab2 percent'!AA55</f>
        <v>1.917089403145273E-2</v>
      </c>
      <c r="AB31" s="118">
        <f>'tab2 lvl'!AB31/'tab2 percent'!AB55</f>
        <v>1.5782026310769692E-2</v>
      </c>
      <c r="AC31" s="118">
        <f>'tab2 lvl'!AC31/'tab2 percent'!AC55</f>
        <v>1.8083061103296636E-2</v>
      </c>
      <c r="AD31" s="118">
        <f>'tab2 lvl'!AD31/'tab2 percent'!AD55</f>
        <v>1.8367770626097131E-2</v>
      </c>
      <c r="AE31" s="118">
        <f>'tab2 lvl'!AE31/'tab2 percent'!AE55</f>
        <v>1.698985142023102E-2</v>
      </c>
      <c r="AF31" s="118">
        <f>'tab2 lvl'!AF31/'tab2 percent'!AF55</f>
        <v>1.810729851124232E-2</v>
      </c>
      <c r="AG31" s="118">
        <f>'tab2 lvl'!AG31/'tab2 percent'!AG55</f>
        <v>2.4690361854281698E-2</v>
      </c>
      <c r="AH31" s="118">
        <f>'tab2 lvl'!AH31/'tab2 percent'!AH55</f>
        <v>1.7674583014315064E-2</v>
      </c>
      <c r="AI31" s="118">
        <f>'tab2 lvl'!AI31/'tab2 percent'!AI55</f>
        <v>2.002613872847666E-2</v>
      </c>
      <c r="AJ31" s="118">
        <f>'tab2 lvl'!AJ31/'tab2 percent'!AJ55</f>
        <v>1.9801442739963697E-2</v>
      </c>
      <c r="AK31" s="118">
        <f>'tab2 lvl'!AK31/'tab2 percent'!AK55</f>
        <v>1.8690421654371143E-2</v>
      </c>
      <c r="AL31" s="118">
        <f>'tab2 lvl'!AL31/'tab2 percent'!AL55</f>
        <v>1.8835357715372786E-2</v>
      </c>
      <c r="AM31" s="118">
        <f>'tab2 lvl'!AM31/'tab2 percent'!AM55</f>
        <v>2.3191549906527838E-2</v>
      </c>
      <c r="AN31" s="118">
        <f>'tab2 lvl'!AN31/'tab2 percent'!AN55</f>
        <v>2.3433028544688903E-2</v>
      </c>
      <c r="AO31" s="118">
        <f>'tab2 lvl'!AO31/'tab2 percent'!AO55</f>
        <v>2.2947436506740543E-2</v>
      </c>
      <c r="AP31" s="118">
        <f>'tab2 lvl'!AP31/'tab2 percent'!AP55</f>
        <v>2.2505225369415873E-2</v>
      </c>
      <c r="AQ31" s="118">
        <f>'tab2 lvl'!AQ31/'tab2 percent'!AQ55</f>
        <v>2.9120427140019191E-2</v>
      </c>
      <c r="AR31" s="118">
        <f>'tab2 lvl'!AR31/'tab2 percent'!AR55</f>
        <v>3.1733687763411858E-2</v>
      </c>
      <c r="AS31" s="118">
        <f>'tab2 lvl'!AS31/'tab2 percent'!AS55</f>
        <v>2.7996444359366119E-2</v>
      </c>
      <c r="AT31" s="118">
        <f>'tab2 lvl'!AT31/'tab2 percent'!AT55</f>
        <v>3.1013093310426162E-2</v>
      </c>
      <c r="AU31" s="118">
        <f>'tab2 lvl'!AU31/'tab2 percent'!AU55</f>
        <v>2.8135348096045665E-2</v>
      </c>
      <c r="AV31" s="118">
        <f>'tab2 lvl'!AV31/'tab2 percent'!AV55</f>
        <v>2.7732770817962188E-2</v>
      </c>
      <c r="AW31" s="118">
        <f>'tab2 lvl'!AW31/'tab2 percent'!AW55</f>
        <v>3.2261395224584051E-2</v>
      </c>
      <c r="AX31" s="118">
        <f>'tab2 lvl'!AX31/'tab2 percent'!AX55</f>
        <v>3.7419438436928278E-2</v>
      </c>
      <c r="AY31" s="118">
        <f>'tab2 lvl'!AY31/'tab2 percent'!AY55</f>
        <v>3.8008056817264047E-2</v>
      </c>
    </row>
    <row r="32" spans="1:51" ht="16.5">
      <c r="A32" s="2"/>
      <c r="B32" s="2"/>
      <c r="C32" s="2"/>
      <c r="D32" s="41" t="s">
        <v>73</v>
      </c>
      <c r="E32" s="118">
        <f>'tab2 lvl'!E32/'tab2 percent'!E55</f>
        <v>2.4993626479567241E-3</v>
      </c>
      <c r="F32" s="118">
        <f>'tab2 lvl'!F32/'tab2 percent'!F55</f>
        <v>9.804374000126387E-4</v>
      </c>
      <c r="G32" s="118">
        <f>'tab2 lvl'!G32/'tab2 percent'!G55</f>
        <v>1.1061091741865607E-3</v>
      </c>
      <c r="H32" s="118">
        <f>'tab2 lvl'!H32/'tab2 percent'!H55</f>
        <v>1.0254988101596836E-3</v>
      </c>
      <c r="I32" s="118">
        <f>'tab2 lvl'!I32/'tab2 percent'!I55</f>
        <v>1.3972055126632184E-3</v>
      </c>
      <c r="J32" s="118">
        <f>'tab2 lvl'!J32/'tab2 percent'!J55</f>
        <v>1.0556718808192285E-3</v>
      </c>
      <c r="K32" s="118">
        <f>'tab2 lvl'!K32/'tab2 percent'!K55</f>
        <v>2.6455990873920665E-3</v>
      </c>
      <c r="L32" s="118">
        <f>'tab2 lvl'!L32/'tab2 percent'!L55</f>
        <v>2.5635154770815903E-4</v>
      </c>
      <c r="M32" s="118">
        <f>'tab2 lvl'!M32/'tab2 percent'!M55</f>
        <v>2.9025000291794804E-4</v>
      </c>
      <c r="N32" s="118">
        <f>'tab2 lvl'!N32/'tab2 percent'!N55</f>
        <v>2.0633060809522447E-4</v>
      </c>
      <c r="O32" s="118">
        <f>'tab2 lvl'!O32/'tab2 percent'!O55</f>
        <v>1.183209617284876E-4</v>
      </c>
      <c r="P32" s="118">
        <f>'tab2 lvl'!P32/'tab2 percent'!P55</f>
        <v>2.1724858746161195E-4</v>
      </c>
      <c r="Q32" s="118">
        <f>'tab2 lvl'!Q32/'tab2 percent'!Q55</f>
        <v>1.2951503588863673E-4</v>
      </c>
      <c r="R32" s="118">
        <f>'tab2 lvl'!R32/'tab2 percent'!R55</f>
        <v>1.2514756603208832E-4</v>
      </c>
      <c r="S32" s="118">
        <f>'tab2 lvl'!S32/'tab2 percent'!S55</f>
        <v>3.6551735245536393E-4</v>
      </c>
      <c r="T32" s="118">
        <f>'tab2 lvl'!T32/'tab2 percent'!T55</f>
        <v>3.2461055655669223E-3</v>
      </c>
      <c r="U32" s="118">
        <f>'tab2 lvl'!U32/'tab2 percent'!U55</f>
        <v>2.2359993044316043E-3</v>
      </c>
      <c r="V32" s="118">
        <f>'tab2 lvl'!V32/'tab2 percent'!V55</f>
        <v>2.0218847262962539E-3</v>
      </c>
      <c r="W32" s="118">
        <f>'tab2 lvl'!W32/'tab2 percent'!W55</f>
        <v>9.9836227185222935E-4</v>
      </c>
      <c r="X32" s="118">
        <f>'tab2 lvl'!X32/'tab2 percent'!X55</f>
        <v>2.5406354671208794E-4</v>
      </c>
      <c r="Y32" s="118">
        <f>'tab2 lvl'!Y32/'tab2 percent'!Y55</f>
        <v>1.6274220682475739E-3</v>
      </c>
      <c r="Z32" s="118">
        <f>'tab2 lvl'!Z32/'tab2 percent'!Z55</f>
        <v>8.5331020558497504E-5</v>
      </c>
      <c r="AA32" s="118">
        <f>'tab2 lvl'!AA32/'tab2 percent'!AA55</f>
        <v>7.1960714161329028E-5</v>
      </c>
      <c r="AB32" s="118">
        <f>'tab2 lvl'!AB32/'tab2 percent'!AB55</f>
        <v>3.3661124652276941E-3</v>
      </c>
      <c r="AC32" s="118">
        <f>'tab2 lvl'!AC32/'tab2 percent'!AC55</f>
        <v>3.6467980063206559E-3</v>
      </c>
      <c r="AD32" s="118">
        <f>'tab2 lvl'!AD32/'tab2 percent'!AD55</f>
        <v>3.588589818607373E-3</v>
      </c>
      <c r="AE32" s="118">
        <f>'tab2 lvl'!AE32/'tab2 percent'!AE55</f>
        <v>3.0532173278447379E-3</v>
      </c>
      <c r="AF32" s="118">
        <f>'tab2 lvl'!AF32/'tab2 percent'!AF55</f>
        <v>2.213966155308836E-3</v>
      </c>
      <c r="AG32" s="118">
        <f>'tab2 lvl'!AG32/'tab2 percent'!AG55</f>
        <v>1.856583392715793E-3</v>
      </c>
      <c r="AH32" s="118">
        <f>'tab2 lvl'!AH32/'tab2 percent'!AH55</f>
        <v>1.1891699379376099E-3</v>
      </c>
      <c r="AI32" s="118">
        <f>'tab2 lvl'!AI32/'tab2 percent'!AI55</f>
        <v>1.46801954083121E-5</v>
      </c>
      <c r="AJ32" s="118">
        <f>'tab2 lvl'!AJ32/'tab2 percent'!AJ55</f>
        <v>1.4853219394101952E-5</v>
      </c>
      <c r="AK32" s="118">
        <f>'tab2 lvl'!AK32/'tab2 percent'!AK55</f>
        <v>1.4592112507818468E-5</v>
      </c>
      <c r="AL32" s="118">
        <f>'tab2 lvl'!AL32/'tab2 percent'!AL55</f>
        <v>1.4311473236155584E-5</v>
      </c>
      <c r="AM32" s="118">
        <f>'tab2 lvl'!AM32/'tab2 percent'!AM55</f>
        <v>1.4130980602705736E-5</v>
      </c>
      <c r="AN32" s="118">
        <f>'tab2 lvl'!AN32/'tab2 percent'!AN55</f>
        <v>1.9469772482743021E-3</v>
      </c>
      <c r="AO32" s="118">
        <f>'tab2 lvl'!AO32/'tab2 percent'!AO55</f>
        <v>6.9464581715332279E-4</v>
      </c>
      <c r="AP32" s="118">
        <f>'tab2 lvl'!AP32/'tab2 percent'!AP55</f>
        <v>1.274458205486597E-5</v>
      </c>
      <c r="AQ32" s="118">
        <f>'tab2 lvl'!AQ32/'tab2 percent'!AQ55</f>
        <v>1.2408804833127331E-5</v>
      </c>
      <c r="AR32" s="118">
        <f>'tab2 lvl'!AR32/'tab2 percent'!AR55</f>
        <v>1.1843407796341208E-5</v>
      </c>
      <c r="AS32" s="118">
        <f>'tab2 lvl'!AS32/'tab2 percent'!AS55</f>
        <v>1.1505939050088E-5</v>
      </c>
      <c r="AT32" s="118">
        <f>'tab2 lvl'!AT32/'tab2 percent'!AT55</f>
        <v>1.1171469805189938E-5</v>
      </c>
      <c r="AU32" s="118">
        <f>'tab2 lvl'!AU32/'tab2 percent'!AU55</f>
        <v>1.0824030873965844E-5</v>
      </c>
      <c r="AV32" s="118">
        <f>'tab2 lvl'!AV32/'tab2 percent'!AV55</f>
        <v>1.0005745591776969E-5</v>
      </c>
      <c r="AW32" s="118">
        <f>'tab2 lvl'!AW32/'tab2 percent'!AW55</f>
        <v>9.9099495326026608E-6</v>
      </c>
      <c r="AX32" s="118">
        <f>'tab2 lvl'!AX32/'tab2 percent'!AX55</f>
        <v>9.8339868756768108E-6</v>
      </c>
      <c r="AY32" s="118">
        <f>'tab2 lvl'!AY32/'tab2 percent'!AY55</f>
        <v>9.9313265183517312E-6</v>
      </c>
    </row>
    <row r="33" spans="1:51" ht="16.5">
      <c r="A33" s="2"/>
      <c r="B33" s="2"/>
      <c r="C33" s="2"/>
      <c r="D33" s="41" t="s">
        <v>74</v>
      </c>
      <c r="E33" s="118">
        <f>'tab2 lvl'!E33/'tab2 percent'!E55</f>
        <v>0</v>
      </c>
      <c r="F33" s="118">
        <f>'tab2 lvl'!F33/'tab2 percent'!F55</f>
        <v>0</v>
      </c>
      <c r="G33" s="118">
        <f>'tab2 lvl'!G33/'tab2 percent'!G55</f>
        <v>0</v>
      </c>
      <c r="H33" s="118">
        <f>'tab2 lvl'!H33/'tab2 percent'!H55</f>
        <v>0</v>
      </c>
      <c r="I33" s="118">
        <f>'tab2 lvl'!I33/'tab2 percent'!I55</f>
        <v>0</v>
      </c>
      <c r="J33" s="118">
        <f>'tab2 lvl'!J33/'tab2 percent'!J55</f>
        <v>0</v>
      </c>
      <c r="K33" s="118">
        <f>'tab2 lvl'!K33/'tab2 percent'!K55</f>
        <v>0</v>
      </c>
      <c r="L33" s="118">
        <f>'tab2 lvl'!L33/'tab2 percent'!L55</f>
        <v>0</v>
      </c>
      <c r="M33" s="118">
        <f>'tab2 lvl'!M33/'tab2 percent'!M55</f>
        <v>0</v>
      </c>
      <c r="N33" s="118">
        <f>'tab2 lvl'!N33/'tab2 percent'!N55</f>
        <v>0</v>
      </c>
      <c r="O33" s="118">
        <f>'tab2 lvl'!O33/'tab2 percent'!O55</f>
        <v>0</v>
      </c>
      <c r="P33" s="118">
        <f>'tab2 lvl'!P33/'tab2 percent'!P55</f>
        <v>0</v>
      </c>
      <c r="Q33" s="118">
        <f>'tab2 lvl'!Q33/'tab2 percent'!Q55</f>
        <v>0</v>
      </c>
      <c r="R33" s="118">
        <f>'tab2 lvl'!R33/'tab2 percent'!R55</f>
        <v>0</v>
      </c>
      <c r="S33" s="118">
        <f>'tab2 lvl'!S33/'tab2 percent'!S55</f>
        <v>0</v>
      </c>
      <c r="T33" s="118">
        <f>'tab2 lvl'!T33/'tab2 percent'!T55</f>
        <v>0</v>
      </c>
      <c r="U33" s="118">
        <f>'tab2 lvl'!U33/'tab2 percent'!U55</f>
        <v>0</v>
      </c>
      <c r="V33" s="118">
        <f>'tab2 lvl'!V33/'tab2 percent'!V55</f>
        <v>0</v>
      </c>
      <c r="W33" s="118">
        <f>'tab2 lvl'!W33/'tab2 percent'!W55</f>
        <v>0</v>
      </c>
      <c r="X33" s="118">
        <f>'tab2 lvl'!X33/'tab2 percent'!X55</f>
        <v>0</v>
      </c>
      <c r="Y33" s="118">
        <f>'tab2 lvl'!Y33/'tab2 percent'!Y55</f>
        <v>0</v>
      </c>
      <c r="Z33" s="118">
        <f>'tab2 lvl'!Z33/'tab2 percent'!Z55</f>
        <v>0</v>
      </c>
      <c r="AA33" s="118">
        <f>'tab2 lvl'!AA33/'tab2 percent'!AA55</f>
        <v>0</v>
      </c>
      <c r="AB33" s="118">
        <f>'tab2 lvl'!AB33/'tab2 percent'!AB55</f>
        <v>0</v>
      </c>
      <c r="AC33" s="118">
        <f>'tab2 lvl'!AC33/'tab2 percent'!AC55</f>
        <v>0</v>
      </c>
      <c r="AD33" s="118">
        <f>'tab2 lvl'!AD33/'tab2 percent'!AD55</f>
        <v>0</v>
      </c>
      <c r="AE33" s="118">
        <f>'tab2 lvl'!AE33/'tab2 percent'!AE55</f>
        <v>0</v>
      </c>
      <c r="AF33" s="118">
        <f>'tab2 lvl'!AF33/'tab2 percent'!AF55</f>
        <v>0</v>
      </c>
      <c r="AG33" s="118">
        <f>'tab2 lvl'!AG33/'tab2 percent'!AG55</f>
        <v>0</v>
      </c>
      <c r="AH33" s="118">
        <f>'tab2 lvl'!AH33/'tab2 percent'!AH55</f>
        <v>0</v>
      </c>
      <c r="AI33" s="118">
        <f>'tab2 lvl'!AI33/'tab2 percent'!AI55</f>
        <v>0</v>
      </c>
      <c r="AJ33" s="118">
        <f>'tab2 lvl'!AJ33/'tab2 percent'!AJ55</f>
        <v>0</v>
      </c>
      <c r="AK33" s="118">
        <f>'tab2 lvl'!AK33/'tab2 percent'!AK55</f>
        <v>0</v>
      </c>
      <c r="AL33" s="118">
        <f>'tab2 lvl'!AL33/'tab2 percent'!AL55</f>
        <v>0</v>
      </c>
      <c r="AM33" s="118">
        <f>'tab2 lvl'!AM33/'tab2 percent'!AM55</f>
        <v>0</v>
      </c>
      <c r="AN33" s="118">
        <f>'tab2 lvl'!AN33/'tab2 percent'!AN55</f>
        <v>0</v>
      </c>
      <c r="AO33" s="118">
        <f>'tab2 lvl'!AO33/'tab2 percent'!AO55</f>
        <v>0</v>
      </c>
      <c r="AP33" s="118">
        <f>'tab2 lvl'!AP33/'tab2 percent'!AP55</f>
        <v>0</v>
      </c>
      <c r="AQ33" s="118">
        <f>'tab2 lvl'!AQ33/'tab2 percent'!AQ55</f>
        <v>0</v>
      </c>
      <c r="AR33" s="118">
        <f>'tab2 lvl'!AR33/'tab2 percent'!AR55</f>
        <v>0</v>
      </c>
      <c r="AS33" s="118">
        <f>'tab2 lvl'!AS33/'tab2 percent'!AS55</f>
        <v>0</v>
      </c>
      <c r="AT33" s="118">
        <f>'tab2 lvl'!AT33/'tab2 percent'!AT55</f>
        <v>0</v>
      </c>
      <c r="AU33" s="118">
        <f>'tab2 lvl'!AU33/'tab2 percent'!AU55</f>
        <v>0</v>
      </c>
      <c r="AV33" s="118">
        <f>'tab2 lvl'!AV33/'tab2 percent'!AV55</f>
        <v>0</v>
      </c>
      <c r="AW33" s="118">
        <f>'tab2 lvl'!AW33/'tab2 percent'!AW55</f>
        <v>0</v>
      </c>
      <c r="AX33" s="118">
        <f>'tab2 lvl'!AX33/'tab2 percent'!AX55</f>
        <v>0</v>
      </c>
      <c r="AY33" s="118">
        <f>'tab2 lvl'!AY33/'tab2 percent'!AY55</f>
        <v>0</v>
      </c>
    </row>
    <row r="34" spans="1:51" ht="16.5">
      <c r="A34" s="41"/>
      <c r="B34" s="41"/>
      <c r="C34" s="41"/>
      <c r="D34" s="41" t="s">
        <v>75</v>
      </c>
      <c r="E34" s="132">
        <f>'tab2 lvl'!E34/'tab2 percent'!E55</f>
        <v>3.9884698195061857E-3</v>
      </c>
      <c r="F34" s="132">
        <f>'tab2 lvl'!F34/'tab2 percent'!F55</f>
        <v>4.9791398509294454E-3</v>
      </c>
      <c r="G34" s="132">
        <f>'tab2 lvl'!G34/'tab2 percent'!G55</f>
        <v>4.8600479219781268E-3</v>
      </c>
      <c r="H34" s="132">
        <f>'tab2 lvl'!H34/'tab2 percent'!H55</f>
        <v>5.195484368027325E-3</v>
      </c>
      <c r="I34" s="132">
        <f>'tab2 lvl'!I34/'tab2 percent'!I55</f>
        <v>4.6431037242470304E-3</v>
      </c>
      <c r="J34" s="132">
        <f>'tab2 lvl'!J34/'tab2 percent'!J55</f>
        <v>6.6030762101489011E-3</v>
      </c>
      <c r="K34" s="132">
        <f>'tab2 lvl'!K34/'tab2 percent'!K55</f>
        <v>4.6464079108148974E-3</v>
      </c>
      <c r="L34" s="132">
        <f>'tab2 lvl'!L34/'tab2 percent'!L55</f>
        <v>6.5280401567522342E-3</v>
      </c>
      <c r="M34" s="132">
        <f>'tab2 lvl'!M34/'tab2 percent'!M55</f>
        <v>8.2660506020241636E-3</v>
      </c>
      <c r="N34" s="132">
        <f>'tab2 lvl'!N34/'tab2 percent'!N55</f>
        <v>8.089822200771651E-3</v>
      </c>
      <c r="O34" s="132">
        <f>'tab2 lvl'!O34/'tab2 percent'!O55</f>
        <v>8.0847027525416098E-3</v>
      </c>
      <c r="P34" s="132">
        <f>'tab2 lvl'!P34/'tab2 percent'!P55</f>
        <v>8.9268120699258525E-3</v>
      </c>
      <c r="Q34" s="132">
        <f>'tab2 lvl'!Q34/'tab2 percent'!Q55</f>
        <v>9.1657995387597595E-3</v>
      </c>
      <c r="R34" s="132">
        <f>'tab2 lvl'!R34/'tab2 percent'!R55</f>
        <v>6.2324462268922324E-3</v>
      </c>
      <c r="S34" s="132">
        <f>'tab2 lvl'!S34/'tab2 percent'!S55</f>
        <v>6.7063874120059106E-3</v>
      </c>
      <c r="T34" s="132">
        <f>'tab2 lvl'!T34/'tab2 percent'!T55</f>
        <v>6.8828971896584823E-3</v>
      </c>
      <c r="U34" s="132">
        <f>'tab2 lvl'!U34/'tab2 percent'!U55</f>
        <v>5.3218532319403529E-3</v>
      </c>
      <c r="V34" s="132">
        <f>'tab2 lvl'!V34/'tab2 percent'!V55</f>
        <v>2.7704666417746964E-3</v>
      </c>
      <c r="W34" s="132">
        <f>'tab2 lvl'!W34/'tab2 percent'!W55</f>
        <v>3.4622570847374647E-3</v>
      </c>
      <c r="X34" s="132">
        <f>'tab2 lvl'!X34/'tab2 percent'!X55</f>
        <v>6.5768472936390994E-3</v>
      </c>
      <c r="Y34" s="132">
        <f>'tab2 lvl'!Y34/'tab2 percent'!Y55</f>
        <v>5.9601751817047006E-3</v>
      </c>
      <c r="Z34" s="132">
        <f>'tab2 lvl'!Z34/'tab2 percent'!Z55</f>
        <v>2.5857040419248055E-3</v>
      </c>
      <c r="AA34" s="132">
        <f>'tab2 lvl'!AA34/'tab2 percent'!AA55</f>
        <v>2.8615250174930896E-3</v>
      </c>
      <c r="AB34" s="132">
        <f>'tab2 lvl'!AB34/'tab2 percent'!AB55</f>
        <v>4.1578078038230822E-3</v>
      </c>
      <c r="AC34" s="132">
        <f>'tab2 lvl'!AC34/'tab2 percent'!AC55</f>
        <v>4.9277345663408783E-3</v>
      </c>
      <c r="AD34" s="132">
        <f>'tab2 lvl'!AD34/'tab2 percent'!AD55</f>
        <v>4.6799964891749571E-3</v>
      </c>
      <c r="AE34" s="132">
        <f>'tab2 lvl'!AE34/'tab2 percent'!AE55</f>
        <v>3.9215913885309638E-3</v>
      </c>
      <c r="AF34" s="132">
        <f>'tab2 lvl'!AF34/'tab2 percent'!AF55</f>
        <v>4.4545575710725187E-3</v>
      </c>
      <c r="AG34" s="132">
        <f>'tab2 lvl'!AG34/'tab2 percent'!AG55</f>
        <v>7.8944736621977627E-3</v>
      </c>
      <c r="AH34" s="132">
        <f>'tab2 lvl'!AH34/'tab2 percent'!AH55</f>
        <v>8.929835612766876E-3</v>
      </c>
      <c r="AI34" s="132">
        <f>'tab2 lvl'!AI34/'tab2 percent'!AI55</f>
        <v>2.9202877990354755E-3</v>
      </c>
      <c r="AJ34" s="132">
        <f>'tab2 lvl'!AJ34/'tab2 percent'!AJ55</f>
        <v>1.0339189024521512E-2</v>
      </c>
      <c r="AK34" s="132">
        <f>'tab2 lvl'!AK34/'tab2 percent'!AK55</f>
        <v>9.3517732300713707E-3</v>
      </c>
      <c r="AL34" s="132">
        <f>'tab2 lvl'!AL34/'tab2 percent'!AL55</f>
        <v>9.6168405745550353E-3</v>
      </c>
      <c r="AM34" s="132">
        <f>'tab2 lvl'!AM34/'tab2 percent'!AM55</f>
        <v>9.3227407269807216E-3</v>
      </c>
      <c r="AN34" s="132">
        <f>'tab2 lvl'!AN34/'tab2 percent'!AN55</f>
        <v>8.811298721183013E-3</v>
      </c>
      <c r="AO34" s="132">
        <f>'tab2 lvl'!AO34/'tab2 percent'!AO55</f>
        <v>9.1926879875737517E-3</v>
      </c>
      <c r="AP34" s="132">
        <f>'tab2 lvl'!AP34/'tab2 percent'!AP55</f>
        <v>8.9793514169633302E-3</v>
      </c>
      <c r="AQ34" s="132">
        <f>'tab2 lvl'!AQ34/'tab2 percent'!AQ55</f>
        <v>8.4135480699067816E-3</v>
      </c>
      <c r="AR34" s="132">
        <f>'tab2 lvl'!AR34/'tab2 percent'!AR55</f>
        <v>8.1093294690497194E-3</v>
      </c>
      <c r="AS34" s="132">
        <f>'tab2 lvl'!AS34/'tab2 percent'!AS55</f>
        <v>8.138459551617969E-3</v>
      </c>
      <c r="AT34" s="132">
        <f>'tab2 lvl'!AT34/'tab2 percent'!AT55</f>
        <v>8.6100058109861832E-3</v>
      </c>
      <c r="AU34" s="132">
        <f>'tab2 lvl'!AU34/'tab2 percent'!AU55</f>
        <v>8.2581927324990069E-3</v>
      </c>
      <c r="AV34" s="132">
        <f>'tab2 lvl'!AV34/'tab2 percent'!AV55</f>
        <v>8.6369841148308396E-3</v>
      </c>
      <c r="AW34" s="132">
        <f>'tab2 lvl'!AW34/'tab2 percent'!AW55</f>
        <v>9.0221415380797396E-3</v>
      </c>
      <c r="AX34" s="132">
        <f>'tab2 lvl'!AX34/'tab2 percent'!AX55</f>
        <v>8.808180951528858E-3</v>
      </c>
      <c r="AY34" s="132">
        <f>'tab2 lvl'!AY34/'tab2 percent'!AY55</f>
        <v>8.8881524999843507E-3</v>
      </c>
    </row>
    <row r="35" spans="1:51" ht="16.5">
      <c r="A35" s="2"/>
      <c r="B35" s="2"/>
      <c r="C35" s="2"/>
      <c r="D35" s="41" t="s">
        <v>76</v>
      </c>
      <c r="E35" s="118">
        <f>'tab2 lvl'!E35/'tab2 percent'!E55</f>
        <v>1.9133329762733652E-2</v>
      </c>
      <c r="F35" s="118">
        <f>'tab2 lvl'!F35/'tab2 percent'!F55</f>
        <v>1.8470097750637758E-2</v>
      </c>
      <c r="G35" s="118">
        <f>'tab2 lvl'!G35/'tab2 percent'!G55</f>
        <v>1.6716317108582176E-2</v>
      </c>
      <c r="H35" s="118">
        <f>'tab2 lvl'!H35/'tab2 percent'!H55</f>
        <v>1.5821155819769218E-2</v>
      </c>
      <c r="I35" s="118">
        <f>'tab2 lvl'!I35/'tab2 percent'!I55</f>
        <v>1.5446945700774772E-2</v>
      </c>
      <c r="J35" s="118">
        <f>'tab2 lvl'!J35/'tab2 percent'!J55</f>
        <v>1.4904001642704981E-2</v>
      </c>
      <c r="K35" s="118">
        <f>'tab2 lvl'!K35/'tab2 percent'!K55</f>
        <v>1.4545141913722604E-2</v>
      </c>
      <c r="L35" s="118">
        <f>'tab2 lvl'!L35/'tab2 percent'!L55</f>
        <v>1.292133327462463E-2</v>
      </c>
      <c r="M35" s="118">
        <f>'tab2 lvl'!M35/'tab2 percent'!M55</f>
        <v>1.2585555951481048E-2</v>
      </c>
      <c r="N35" s="118">
        <f>'tab2 lvl'!N35/'tab2 percent'!N55</f>
        <v>1.2268124992989782E-2</v>
      </c>
      <c r="O35" s="118">
        <f>'tab2 lvl'!O35/'tab2 percent'!O55</f>
        <v>1.1973884943583977E-2</v>
      </c>
      <c r="P35" s="118">
        <f>'tab2 lvl'!P35/'tab2 percent'!P55</f>
        <v>1.3116000763495476E-2</v>
      </c>
      <c r="Q35" s="118">
        <f>'tab2 lvl'!Q35/'tab2 percent'!Q55</f>
        <v>1.2813356298564236E-2</v>
      </c>
      <c r="R35" s="118">
        <f>'tab2 lvl'!R35/'tab2 percent'!R55</f>
        <v>1.1521401604020312E-2</v>
      </c>
      <c r="S35" s="118">
        <f>'tab2 lvl'!S35/'tab2 percent'!S55</f>
        <v>1.0404389548738928E-2</v>
      </c>
      <c r="T35" s="118">
        <f>'tab2 lvl'!T35/'tab2 percent'!T55</f>
        <v>1.0122939837547466E-2</v>
      </c>
      <c r="U35" s="118">
        <f>'tab2 lvl'!U35/'tab2 percent'!U55</f>
        <v>9.9193712243695782E-3</v>
      </c>
      <c r="V35" s="118">
        <f>'tab2 lvl'!V35/'tab2 percent'!V55</f>
        <v>9.5941322920957903E-3</v>
      </c>
      <c r="W35" s="118">
        <f>'tab2 lvl'!W35/'tab2 percent'!W55</f>
        <v>9.3183139515546441E-3</v>
      </c>
      <c r="X35" s="118">
        <f>'tab2 lvl'!X35/'tab2 percent'!X55</f>
        <v>9.4040425064270319E-3</v>
      </c>
      <c r="Y35" s="118">
        <f>'tab2 lvl'!Y35/'tab2 percent'!Y55</f>
        <v>9.2896128017557061E-3</v>
      </c>
      <c r="Z35" s="118">
        <f>'tab2 lvl'!Z35/'tab2 percent'!Z55</f>
        <v>9.2522135354774458E-3</v>
      </c>
      <c r="AA35" s="118">
        <f>'tab2 lvl'!AA35/'tab2 percent'!AA55</f>
        <v>9.2188235145121405E-3</v>
      </c>
      <c r="AB35" s="118">
        <f>'tab2 lvl'!AB35/'tab2 percent'!AB55</f>
        <v>9.0636311862372747E-3</v>
      </c>
      <c r="AC35" s="118">
        <f>'tab2 lvl'!AC35/'tab2 percent'!AC55</f>
        <v>8.7981562941076164E-3</v>
      </c>
      <c r="AD35" s="118">
        <f>'tab2 lvl'!AD35/'tab2 percent'!AD55</f>
        <v>8.5211819777647746E-3</v>
      </c>
      <c r="AE35" s="118">
        <f>'tab2 lvl'!AE35/'tab2 percent'!AE55</f>
        <v>8.2921764712589937E-3</v>
      </c>
      <c r="AF35" s="118">
        <f>'tab2 lvl'!AF35/'tab2 percent'!AF55</f>
        <v>8.076799193200852E-3</v>
      </c>
      <c r="AG35" s="118">
        <f>'tab2 lvl'!AG35/'tab2 percent'!AG55</f>
        <v>7.9100155320800704E-3</v>
      </c>
      <c r="AH35" s="118">
        <f>'tab2 lvl'!AH35/'tab2 percent'!AH55</f>
        <v>7.7585456351899123E-3</v>
      </c>
      <c r="AI35" s="118">
        <f>'tab2 lvl'!AI35/'tab2 percent'!AI55</f>
        <v>7.1506622784293329E-3</v>
      </c>
      <c r="AJ35" s="118">
        <f>'tab2 lvl'!AJ35/'tab2 percent'!AJ55</f>
        <v>6.8739195493191267E-3</v>
      </c>
      <c r="AK35" s="118">
        <f>'tab2 lvl'!AK35/'tab2 percent'!AK55</f>
        <v>6.7530212098682752E-3</v>
      </c>
      <c r="AL35" s="118">
        <f>'tab2 lvl'!AL35/'tab2 percent'!AL55</f>
        <v>6.623095740381538E-3</v>
      </c>
      <c r="AM35" s="118">
        <f>'tab2 lvl'!AM35/'tab2 percent'!AM55</f>
        <v>6.477705563549525E-3</v>
      </c>
      <c r="AN35" s="118">
        <f>'tab2 lvl'!AN35/'tab2 percent'!AN55</f>
        <v>6.3198406906711984E-3</v>
      </c>
      <c r="AO35" s="118">
        <f>'tab2 lvl'!AO35/'tab2 percent'!AO55</f>
        <v>6.1892823609871455E-3</v>
      </c>
      <c r="AP35" s="118">
        <f>'tab2 lvl'!AP35/'tab2 percent'!AP55</f>
        <v>5.9424064711976988E-3</v>
      </c>
      <c r="AQ35" s="118">
        <f>'tab2 lvl'!AQ35/'tab2 percent'!AQ55</f>
        <v>5.8142578677551826E-3</v>
      </c>
      <c r="AR35" s="118">
        <f>'tab2 lvl'!AR35/'tab2 percent'!AR55</f>
        <v>5.5170180326496853E-3</v>
      </c>
      <c r="AS35" s="118">
        <f>'tab2 lvl'!AS35/'tab2 percent'!AS55</f>
        <v>4.7549650757414928E-3</v>
      </c>
      <c r="AT35" s="118">
        <f>'tab2 lvl'!AT35/'tab2 percent'!AT55</f>
        <v>4.6406235882976328E-3</v>
      </c>
      <c r="AU35" s="118">
        <f>'tab2 lvl'!AU35/'tab2 percent'!AU55</f>
        <v>4.5467907681564805E-3</v>
      </c>
      <c r="AV35" s="118">
        <f>'tab2 lvl'!AV35/'tab2 percent'!AV55</f>
        <v>4.4388493123640321E-3</v>
      </c>
      <c r="AW35" s="118">
        <f>'tab2 lvl'!AW35/'tab2 percent'!AW55</f>
        <v>4.3847150047903799E-3</v>
      </c>
      <c r="AX35" s="118">
        <f>'tab2 lvl'!AX35/'tab2 percent'!AX55</f>
        <v>4.3222879021136513E-3</v>
      </c>
      <c r="AY35" s="118">
        <f>'tab2 lvl'!AY35/'tab2 percent'!AY55</f>
        <v>4.2774780568065763E-3</v>
      </c>
    </row>
    <row r="36" spans="1:51" ht="16.5">
      <c r="A36" s="2"/>
      <c r="B36" s="2"/>
      <c r="C36" s="2"/>
      <c r="D36" s="41" t="s">
        <v>77</v>
      </c>
      <c r="E36" s="118">
        <f>'tab2 lvl'!E36/'tab2 percent'!E55</f>
        <v>7.3702822134861555E-3</v>
      </c>
      <c r="F36" s="118">
        <f>'tab2 lvl'!F36/'tab2 percent'!F55</f>
        <v>7.6975175039412889E-3</v>
      </c>
      <c r="G36" s="118">
        <f>'tab2 lvl'!G36/'tab2 percent'!G55</f>
        <v>7.8261380631342095E-3</v>
      </c>
      <c r="H36" s="118">
        <f>'tab2 lvl'!H36/'tab2 percent'!H55</f>
        <v>7.6039166594244426E-3</v>
      </c>
      <c r="I36" s="118">
        <f>'tab2 lvl'!I36/'tab2 percent'!I55</f>
        <v>7.6824022159320384E-3</v>
      </c>
      <c r="J36" s="118">
        <f>'tab2 lvl'!J36/'tab2 percent'!J55</f>
        <v>7.6763698522048229E-3</v>
      </c>
      <c r="K36" s="118">
        <f>'tab2 lvl'!K36/'tab2 percent'!K55</f>
        <v>7.7461272867742886E-3</v>
      </c>
      <c r="L36" s="118">
        <f>'tab2 lvl'!L36/'tab2 percent'!L55</f>
        <v>7.471577270573731E-3</v>
      </c>
      <c r="M36" s="118">
        <f>'tab2 lvl'!M36/'tab2 percent'!M55</f>
        <v>7.5361743418190701E-3</v>
      </c>
      <c r="N36" s="118">
        <f>'tab2 lvl'!N36/'tab2 percent'!N55</f>
        <v>6.6967759986108462E-3</v>
      </c>
      <c r="O36" s="118">
        <f>'tab2 lvl'!O36/'tab2 percent'!O55</f>
        <v>7.6777694341377736E-3</v>
      </c>
      <c r="P36" s="118">
        <f>'tab2 lvl'!P36/'tab2 percent'!P55</f>
        <v>7.8355373293572464E-3</v>
      </c>
      <c r="Q36" s="118">
        <f>'tab2 lvl'!Q36/'tab2 percent'!Q55</f>
        <v>7.7241093248172157E-4</v>
      </c>
      <c r="R36" s="118">
        <f>'tab2 lvl'!R36/'tab2 percent'!R55</f>
        <v>4.8837767179061194E-3</v>
      </c>
      <c r="S36" s="118">
        <f>'tab2 lvl'!S36/'tab2 percent'!S55</f>
        <v>4.9041171570027514E-3</v>
      </c>
      <c r="T36" s="118">
        <f>'tab2 lvl'!T36/'tab2 percent'!T55</f>
        <v>4.9316186582599245E-3</v>
      </c>
      <c r="U36" s="118">
        <f>'tab2 lvl'!U36/'tab2 percent'!U55</f>
        <v>4.9830186309274566E-3</v>
      </c>
      <c r="V36" s="118">
        <f>'tab2 lvl'!V36/'tab2 percent'!V55</f>
        <v>4.8679118656577616E-3</v>
      </c>
      <c r="W36" s="118">
        <f>'tab2 lvl'!W36/'tab2 percent'!W55</f>
        <v>5.0618530159049881E-3</v>
      </c>
      <c r="X36" s="118">
        <f>'tab2 lvl'!X36/'tab2 percent'!X55</f>
        <v>5.2971612245756748E-3</v>
      </c>
      <c r="Y36" s="118">
        <f>'tab2 lvl'!Y36/'tab2 percent'!Y55</f>
        <v>5.4519647720150449E-3</v>
      </c>
      <c r="Z36" s="118">
        <f>'tab2 lvl'!Z36/'tab2 percent'!Z55</f>
        <v>5.5840638914033767E-3</v>
      </c>
      <c r="AA36" s="118">
        <f>'tab2 lvl'!AA36/'tab2 percent'!AA55</f>
        <v>5.7775472528129833E-3</v>
      </c>
      <c r="AB36" s="118">
        <f>'tab2 lvl'!AB36/'tab2 percent'!AB55</f>
        <v>5.8629254524969216E-3</v>
      </c>
      <c r="AC36" s="118">
        <f>'tab2 lvl'!AC36/'tab2 percent'!AC55</f>
        <v>6.0701522229984293E-3</v>
      </c>
      <c r="AD36" s="118">
        <f>'tab2 lvl'!AD36/'tab2 percent'!AD55</f>
        <v>6.2395194420362789E-3</v>
      </c>
      <c r="AE36" s="118">
        <f>'tab2 lvl'!AE36/'tab2 percent'!AE55</f>
        <v>6.2748411617831847E-3</v>
      </c>
      <c r="AF36" s="118">
        <f>'tab2 lvl'!AF36/'tab2 percent'!AF55</f>
        <v>6.1773018372140555E-3</v>
      </c>
      <c r="AG36" s="118">
        <f>'tab2 lvl'!AG36/'tab2 percent'!AG55</f>
        <v>6.0299262120749493E-3</v>
      </c>
      <c r="AH36" s="118">
        <f>'tab2 lvl'!AH36/'tab2 percent'!AH55</f>
        <v>5.9183293285156235E-3</v>
      </c>
      <c r="AI36" s="118">
        <f>'tab2 lvl'!AI36/'tab2 percent'!AI55</f>
        <v>5.9003820284060735E-3</v>
      </c>
      <c r="AJ36" s="118">
        <f>'tab2 lvl'!AJ36/'tab2 percent'!AJ55</f>
        <v>5.8490942408846091E-3</v>
      </c>
      <c r="AK36" s="118">
        <f>'tab2 lvl'!AK36/'tab2 percent'!AK55</f>
        <v>5.8316766791468699E-3</v>
      </c>
      <c r="AL36" s="118">
        <f>'tab2 lvl'!AL36/'tab2 percent'!AL55</f>
        <v>5.7287473423107884E-3</v>
      </c>
      <c r="AM36" s="118">
        <f>'tab2 lvl'!AM36/'tab2 percent'!AM55</f>
        <v>5.5983790896426324E-3</v>
      </c>
      <c r="AN36" s="118">
        <f>'tab2 lvl'!AN36/'tab2 percent'!AN55</f>
        <v>5.5130607794584442E-3</v>
      </c>
      <c r="AO36" s="118">
        <f>'tab2 lvl'!AO36/'tab2 percent'!AO55</f>
        <v>5.3826902972850038E-3</v>
      </c>
      <c r="AP36" s="118">
        <f>'tab2 lvl'!AP36/'tab2 percent'!AP55</f>
        <v>5.2396113766245483E-3</v>
      </c>
      <c r="AQ36" s="118">
        <f>'tab2 lvl'!AQ36/'tab2 percent'!AQ55</f>
        <v>5.1973975211320519E-3</v>
      </c>
      <c r="AR36" s="118">
        <f>'tab2 lvl'!AR36/'tab2 percent'!AR55</f>
        <v>5.0269441896665873E-3</v>
      </c>
      <c r="AS36" s="118">
        <f>'tab2 lvl'!AS36/'tab2 percent'!AS55</f>
        <v>4.8136142236342178E-3</v>
      </c>
      <c r="AT36" s="118">
        <f>'tab2 lvl'!AT36/'tab2 percent'!AT55</f>
        <v>4.6785771903182028E-3</v>
      </c>
      <c r="AU36" s="118">
        <f>'tab2 lvl'!AU36/'tab2 percent'!AU55</f>
        <v>4.5409704766013904E-3</v>
      </c>
      <c r="AV36" s="118">
        <f>'tab2 lvl'!AV36/'tab2 percent'!AV55</f>
        <v>4.4266421627383494E-3</v>
      </c>
      <c r="AW36" s="118">
        <f>'tab2 lvl'!AW36/'tab2 percent'!AW55</f>
        <v>4.3973799696192728E-3</v>
      </c>
      <c r="AX36" s="118">
        <f>'tab2 lvl'!AX36/'tab2 percent'!AX55</f>
        <v>4.3310322331133093E-3</v>
      </c>
      <c r="AY36" s="118">
        <f>'tab2 lvl'!AY36/'tab2 percent'!AY55</f>
        <v>4.3309702656343574E-3</v>
      </c>
    </row>
    <row r="37" spans="1:51" ht="16.5">
      <c r="A37" s="12"/>
      <c r="B37" s="12"/>
      <c r="C37" s="113" t="s">
        <v>11</v>
      </c>
      <c r="D37" s="113"/>
      <c r="E37" s="142">
        <f>'tab2 lvl'!E37/'tab2 percent'!E55</f>
        <v>1.0688233088747256E-4</v>
      </c>
      <c r="F37" s="142">
        <f>'tab2 lvl'!F37/'tab2 percent'!F55</f>
        <v>1.0370830464673072E-4</v>
      </c>
      <c r="G37" s="142">
        <f>'tab2 lvl'!G37/'tab2 percent'!G55</f>
        <v>1.0070034069373633E-4</v>
      </c>
      <c r="H37" s="142">
        <f>'tab2 lvl'!H37/'tab2 percent'!H55</f>
        <v>1.3313322012680561E-4</v>
      </c>
      <c r="I37" s="142">
        <f>'tab2 lvl'!I37/'tab2 percent'!I55</f>
        <v>1.263717699507238E-4</v>
      </c>
      <c r="J37" s="142">
        <f>'tab2 lvl'!J37/'tab2 percent'!J55</f>
        <v>1.2619197295032266E-4</v>
      </c>
      <c r="K37" s="142">
        <f>'tab2 lvl'!K37/'tab2 percent'!K55</f>
        <v>1.227186613537501E-4</v>
      </c>
      <c r="L37" s="142">
        <f>'tab2 lvl'!L37/'tab2 percent'!L55</f>
        <v>1.8738056448417068E-4</v>
      </c>
      <c r="M37" s="142">
        <f>'tab2 lvl'!M37/'tab2 percent'!M55</f>
        <v>1.7672466174117047E-4</v>
      </c>
      <c r="N37" s="142">
        <f>'tab2 lvl'!N37/'tab2 percent'!N55</f>
        <v>0</v>
      </c>
      <c r="O37" s="142">
        <f>'tab2 lvl'!O37/'tab2 percent'!O55</f>
        <v>0</v>
      </c>
      <c r="P37" s="142">
        <f>'tab2 lvl'!P37/'tab2 percent'!P55</f>
        <v>0</v>
      </c>
      <c r="Q37" s="142">
        <f>'tab2 lvl'!Q37/'tab2 percent'!Q55</f>
        <v>0</v>
      </c>
      <c r="R37" s="142">
        <f>'tab2 lvl'!R37/'tab2 percent'!R55</f>
        <v>0</v>
      </c>
      <c r="S37" s="142">
        <f>'tab2 lvl'!S37/'tab2 percent'!S55</f>
        <v>0</v>
      </c>
      <c r="T37" s="142">
        <f>'tab2 lvl'!T37/'tab2 percent'!T55</f>
        <v>0</v>
      </c>
      <c r="U37" s="142">
        <f>'tab2 lvl'!U37/'tab2 percent'!U55</f>
        <v>9.5114570437461617E-4</v>
      </c>
      <c r="V37" s="142">
        <f>'tab2 lvl'!V37/'tab2 percent'!V55</f>
        <v>2.7079799890603923E-3</v>
      </c>
      <c r="W37" s="142">
        <f>'tab2 lvl'!W37/'tab2 percent'!W55</f>
        <v>3.1465400830970754E-3</v>
      </c>
      <c r="X37" s="142">
        <f>'tab2 lvl'!X37/'tab2 percent'!X55</f>
        <v>2.9423760407299507E-3</v>
      </c>
      <c r="Y37" s="142">
        <f>'tab2 lvl'!Y37/'tab2 percent'!Y55</f>
        <v>3.0658845555227433E-3</v>
      </c>
      <c r="Z37" s="142">
        <f>'tab2 lvl'!Z37/'tab2 percent'!Z55</f>
        <v>3.3675885992469419E-3</v>
      </c>
      <c r="AA37" s="142">
        <f>'tab2 lvl'!AA37/'tab2 percent'!AA55</f>
        <v>3.5754039241512291E-3</v>
      </c>
      <c r="AB37" s="142">
        <f>'tab2 lvl'!AB37/'tab2 percent'!AB55</f>
        <v>3.9702133390845393E-3</v>
      </c>
      <c r="AC37" s="142">
        <f>'tab2 lvl'!AC37/'tab2 percent'!AC55</f>
        <v>4.2797101642088357E-3</v>
      </c>
      <c r="AD37" s="142">
        <f>'tab2 lvl'!AD37/'tab2 percent'!AD55</f>
        <v>2.7625277940315973E-3</v>
      </c>
      <c r="AE37" s="142">
        <f>'tab2 lvl'!AE37/'tab2 percent'!AE55</f>
        <v>1.0627843597842571E-3</v>
      </c>
      <c r="AF37" s="142">
        <f>'tab2 lvl'!AF37/'tab2 percent'!AF55</f>
        <v>2.8027718171196028E-3</v>
      </c>
      <c r="AG37" s="142">
        <f>'tab2 lvl'!AG37/'tab2 percent'!AG55</f>
        <v>3.6899214215328647E-3</v>
      </c>
      <c r="AH37" s="142">
        <f>'tab2 lvl'!AH37/'tab2 percent'!AH55</f>
        <v>4.3496593866484343E-3</v>
      </c>
      <c r="AI37" s="142">
        <f>'tab2 lvl'!AI37/'tab2 percent'!AI55</f>
        <v>4.5181294112779605E-3</v>
      </c>
      <c r="AJ37" s="142">
        <f>'tab2 lvl'!AJ37/'tab2 percent'!AJ55</f>
        <v>4.7344997333733816E-3</v>
      </c>
      <c r="AK37" s="142">
        <f>'tab2 lvl'!AK37/'tab2 percent'!AK55</f>
        <v>4.6976482918373932E-3</v>
      </c>
      <c r="AL37" s="142">
        <f>'tab2 lvl'!AL37/'tab2 percent'!AL55</f>
        <v>4.8446520346905339E-3</v>
      </c>
      <c r="AM37" s="142">
        <f>'tab2 lvl'!AM37/'tab2 percent'!AM55</f>
        <v>4.8954918872060474E-3</v>
      </c>
      <c r="AN37" s="142">
        <f>'tab2 lvl'!AN37/'tab2 percent'!AN55</f>
        <v>4.8689675846875259E-3</v>
      </c>
      <c r="AO37" s="142">
        <f>'tab2 lvl'!AO37/'tab2 percent'!AO55</f>
        <v>5.2133211234626576E-3</v>
      </c>
      <c r="AP37" s="142">
        <f>'tab2 lvl'!AP37/'tab2 percent'!AP55</f>
        <v>5.5142284544398438E-3</v>
      </c>
      <c r="AQ37" s="142">
        <f>'tab2 lvl'!AQ37/'tab2 percent'!AQ55</f>
        <v>5.582798571877135E-3</v>
      </c>
      <c r="AR37" s="142">
        <f>'tab2 lvl'!AR37/'tab2 percent'!AR55</f>
        <v>5.7125079035470101E-3</v>
      </c>
      <c r="AS37" s="142">
        <f>'tab2 lvl'!AS37/'tab2 percent'!AS55</f>
        <v>5.7988405475401473E-3</v>
      </c>
      <c r="AT37" s="142">
        <f>'tab2 lvl'!AT37/'tab2 percent'!AT55</f>
        <v>5.6088811280252922E-3</v>
      </c>
      <c r="AU37" s="142">
        <f>'tab2 lvl'!AU37/'tab2 percent'!AU55</f>
        <v>5.7804868688034151E-3</v>
      </c>
      <c r="AV37" s="142">
        <f>'tab2 lvl'!AV37/'tab2 percent'!AV55</f>
        <v>5.8400412695479844E-3</v>
      </c>
      <c r="AW37" s="142">
        <f>'tab2 lvl'!AW37/'tab2 percent'!AW55</f>
        <v>5.9720966606400597E-3</v>
      </c>
      <c r="AX37" s="142">
        <f>'tab2 lvl'!AX37/'tab2 percent'!AX55</f>
        <v>5.9420496651045405E-3</v>
      </c>
      <c r="AY37" s="142">
        <f>'tab2 lvl'!AY37/'tab2 percent'!AY55</f>
        <v>6.0961092864238835E-3</v>
      </c>
    </row>
    <row r="38" spans="1:51" ht="16.5">
      <c r="A38" s="2"/>
      <c r="B38" s="2"/>
      <c r="C38" s="2"/>
      <c r="D38" s="2" t="s">
        <v>78</v>
      </c>
      <c r="E38" s="118">
        <f>'tab2 lvl'!E38/'tab2 percent'!E55</f>
        <v>1.0688233088747256E-4</v>
      </c>
      <c r="F38" s="118">
        <f>'tab2 lvl'!F38/'tab2 percent'!F55</f>
        <v>1.0370830464673072E-4</v>
      </c>
      <c r="G38" s="118">
        <f>'tab2 lvl'!G38/'tab2 percent'!G55</f>
        <v>1.0070034069373633E-4</v>
      </c>
      <c r="H38" s="118">
        <f>'tab2 lvl'!H38/'tab2 percent'!H55</f>
        <v>1.3313322012680561E-4</v>
      </c>
      <c r="I38" s="118">
        <f>'tab2 lvl'!I38/'tab2 percent'!I55</f>
        <v>1.263717699507238E-4</v>
      </c>
      <c r="J38" s="118">
        <f>'tab2 lvl'!J38/'tab2 percent'!J55</f>
        <v>1.2619197295032266E-4</v>
      </c>
      <c r="K38" s="118">
        <f>'tab2 lvl'!K38/'tab2 percent'!K55</f>
        <v>1.227186613537501E-4</v>
      </c>
      <c r="L38" s="118">
        <f>'tab2 lvl'!L38/'tab2 percent'!L55</f>
        <v>1.8738056448417068E-4</v>
      </c>
      <c r="M38" s="118">
        <f>'tab2 lvl'!M38/'tab2 percent'!M55</f>
        <v>1.7672466174117047E-4</v>
      </c>
      <c r="N38" s="118">
        <f>'tab2 lvl'!N38/'tab2 percent'!N55</f>
        <v>0</v>
      </c>
      <c r="O38" s="118">
        <f>'tab2 lvl'!O38/'tab2 percent'!O55</f>
        <v>0</v>
      </c>
      <c r="P38" s="118">
        <f>'tab2 lvl'!P38/'tab2 percent'!P55</f>
        <v>0</v>
      </c>
      <c r="Q38" s="118">
        <f>'tab2 lvl'!Q38/'tab2 percent'!Q55</f>
        <v>0</v>
      </c>
      <c r="R38" s="118">
        <f>'tab2 lvl'!R38/'tab2 percent'!R55</f>
        <v>0</v>
      </c>
      <c r="S38" s="118">
        <f>'tab2 lvl'!S38/'tab2 percent'!S55</f>
        <v>0</v>
      </c>
      <c r="T38" s="118">
        <f>'tab2 lvl'!T38/'tab2 percent'!T55</f>
        <v>0</v>
      </c>
      <c r="U38" s="118">
        <f>'tab2 lvl'!U38/'tab2 percent'!U55</f>
        <v>9.5114570437461617E-4</v>
      </c>
      <c r="V38" s="118">
        <f>'tab2 lvl'!V38/'tab2 percent'!V55</f>
        <v>2.7079799890603923E-3</v>
      </c>
      <c r="W38" s="118">
        <f>'tab2 lvl'!W38/'tab2 percent'!W55</f>
        <v>3.1465400830970754E-3</v>
      </c>
      <c r="X38" s="118">
        <f>'tab2 lvl'!X38/'tab2 percent'!X55</f>
        <v>2.9423760407299507E-3</v>
      </c>
      <c r="Y38" s="118">
        <f>'tab2 lvl'!Y38/'tab2 percent'!Y55</f>
        <v>3.0658845555227433E-3</v>
      </c>
      <c r="Z38" s="118">
        <f>'tab2 lvl'!Z38/'tab2 percent'!Z55</f>
        <v>3.3675885992469419E-3</v>
      </c>
      <c r="AA38" s="118">
        <f>'tab2 lvl'!AA38/'tab2 percent'!AA55</f>
        <v>3.5754039241512291E-3</v>
      </c>
      <c r="AB38" s="118">
        <f>'tab2 lvl'!AB38/'tab2 percent'!AB55</f>
        <v>3.9702133390845393E-3</v>
      </c>
      <c r="AC38" s="118">
        <f>'tab2 lvl'!AC38/'tab2 percent'!AC55</f>
        <v>4.2797101642088357E-3</v>
      </c>
      <c r="AD38" s="118">
        <f>'tab2 lvl'!AD38/'tab2 percent'!AD55</f>
        <v>2.7625277940315973E-3</v>
      </c>
      <c r="AE38" s="118">
        <f>'tab2 lvl'!AE38/'tab2 percent'!AE55</f>
        <v>1.0627843597842571E-3</v>
      </c>
      <c r="AF38" s="118">
        <f>'tab2 lvl'!AF38/'tab2 percent'!AF55</f>
        <v>2.8027718171196028E-3</v>
      </c>
      <c r="AG38" s="118">
        <f>'tab2 lvl'!AG38/'tab2 percent'!AG55</f>
        <v>3.6899214215328647E-3</v>
      </c>
      <c r="AH38" s="118">
        <f>'tab2 lvl'!AH38/'tab2 percent'!AH55</f>
        <v>4.3496593866484343E-3</v>
      </c>
      <c r="AI38" s="118">
        <f>'tab2 lvl'!AI38/'tab2 percent'!AI55</f>
        <v>4.5181294112779605E-3</v>
      </c>
      <c r="AJ38" s="118">
        <f>'tab2 lvl'!AJ38/'tab2 percent'!AJ55</f>
        <v>4.7344997333733816E-3</v>
      </c>
      <c r="AK38" s="118">
        <f>'tab2 lvl'!AK38/'tab2 percent'!AK55</f>
        <v>4.6976482918373932E-3</v>
      </c>
      <c r="AL38" s="118">
        <f>'tab2 lvl'!AL38/'tab2 percent'!AL55</f>
        <v>4.8446520346905339E-3</v>
      </c>
      <c r="AM38" s="118">
        <f>'tab2 lvl'!AM38/'tab2 percent'!AM55</f>
        <v>4.8954918872060474E-3</v>
      </c>
      <c r="AN38" s="118">
        <f>'tab2 lvl'!AN38/'tab2 percent'!AN55</f>
        <v>4.8689675846875259E-3</v>
      </c>
      <c r="AO38" s="118">
        <f>'tab2 lvl'!AO38/'tab2 percent'!AO55</f>
        <v>5.2133211234626576E-3</v>
      </c>
      <c r="AP38" s="118">
        <f>'tab2 lvl'!AP38/'tab2 percent'!AP55</f>
        <v>5.5142284544398438E-3</v>
      </c>
      <c r="AQ38" s="118">
        <f>'tab2 lvl'!AQ38/'tab2 percent'!AQ55</f>
        <v>5.582798571877135E-3</v>
      </c>
      <c r="AR38" s="118">
        <f>'tab2 lvl'!AR38/'tab2 percent'!AR55</f>
        <v>5.7125079035470101E-3</v>
      </c>
      <c r="AS38" s="118">
        <f>'tab2 lvl'!AS38/'tab2 percent'!AS55</f>
        <v>5.7988405475401473E-3</v>
      </c>
      <c r="AT38" s="118">
        <f>'tab2 lvl'!AT38/'tab2 percent'!AT55</f>
        <v>5.6088811280252922E-3</v>
      </c>
      <c r="AU38" s="118">
        <f>'tab2 lvl'!AU38/'tab2 percent'!AU55</f>
        <v>5.7804868688034151E-3</v>
      </c>
      <c r="AV38" s="118">
        <f>'tab2 lvl'!AV38/'tab2 percent'!AV55</f>
        <v>5.8400412695479844E-3</v>
      </c>
      <c r="AW38" s="118">
        <f>'tab2 lvl'!AW38/'tab2 percent'!AW55</f>
        <v>5.9720966606400597E-3</v>
      </c>
      <c r="AX38" s="118">
        <f>'tab2 lvl'!AX38/'tab2 percent'!AX55</f>
        <v>5.9420496651045405E-3</v>
      </c>
      <c r="AY38" s="118">
        <f>'tab2 lvl'!AY38/'tab2 percent'!AY55</f>
        <v>6.0961092864238835E-3</v>
      </c>
    </row>
    <row r="39" spans="1:51" ht="16.5">
      <c r="A39" s="6"/>
      <c r="B39" s="6"/>
      <c r="C39" s="6"/>
      <c r="D39" s="6"/>
      <c r="E39" s="6"/>
      <c r="F39" s="6"/>
      <c r="G39" s="6"/>
      <c r="H39" s="6"/>
      <c r="I39" s="2"/>
      <c r="J39" s="2"/>
      <c r="K39" s="2"/>
      <c r="L39" s="2"/>
      <c r="M39" s="3"/>
      <c r="N39" s="3"/>
      <c r="O39" s="3"/>
      <c r="P39" s="3"/>
      <c r="Q39" s="103"/>
      <c r="R39" s="96"/>
      <c r="S39" s="96"/>
      <c r="T39" s="96"/>
      <c r="U39" s="96"/>
      <c r="V39" s="96"/>
      <c r="W39" s="96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4"/>
      <c r="AQ39" s="4"/>
      <c r="AR39" s="97"/>
      <c r="AS39" s="4"/>
      <c r="AU39" s="4"/>
      <c r="AV39" s="4"/>
      <c r="AW39" s="4"/>
      <c r="AX39" s="4"/>
      <c r="AY39" s="4"/>
    </row>
    <row r="40" spans="1:51" ht="16.5">
      <c r="A40" s="115" t="s">
        <v>17</v>
      </c>
      <c r="B40" s="116" t="s">
        <v>79</v>
      </c>
      <c r="C40" s="116"/>
      <c r="D40" s="116"/>
      <c r="E40" s="143">
        <f>'tab2 lvl'!E40/'tab2 percent'!E55</f>
        <v>1.1056571228087064</v>
      </c>
      <c r="F40" s="143">
        <f>'tab2 lvl'!F40/'tab2 percent'!F55</f>
        <v>1.0792813497787139</v>
      </c>
      <c r="G40" s="143">
        <f>'tab2 lvl'!G40/'tab2 percent'!G55</f>
        <v>1.0521897793593304</v>
      </c>
      <c r="H40" s="143">
        <f>'tab2 lvl'!H40/'tab2 percent'!H55</f>
        <v>1.0329695916460222</v>
      </c>
      <c r="I40" s="143">
        <f>'tab2 lvl'!I40/'tab2 percent'!I55</f>
        <v>1.0383564550047628</v>
      </c>
      <c r="J40" s="143">
        <f>'tab2 lvl'!J40/'tab2 percent'!J55</f>
        <v>1.0120291494620159</v>
      </c>
      <c r="K40" s="143">
        <f>'tab2 lvl'!K40/'tab2 percent'!K55</f>
        <v>0.99599113579153098</v>
      </c>
      <c r="L40" s="143">
        <f>'tab2 lvl'!L40/'tab2 percent'!L55</f>
        <v>0.88659392150969141</v>
      </c>
      <c r="M40" s="143">
        <f>'tab2 lvl'!M40/'tab2 percent'!M55</f>
        <v>0.85035841524812172</v>
      </c>
      <c r="N40" s="143">
        <f>'tab2 lvl'!N40/'tab2 percent'!N55</f>
        <v>0.83886677895199124</v>
      </c>
      <c r="O40" s="143">
        <f>'tab2 lvl'!O40/'tab2 percent'!O55</f>
        <v>0.79888412165530387</v>
      </c>
      <c r="P40" s="143">
        <f>'tab2 lvl'!P40/'tab2 percent'!P55</f>
        <v>0.78756802065581188</v>
      </c>
      <c r="Q40" s="143">
        <f>'tab2 lvl'!Q40/'tab2 percent'!Q55</f>
        <v>0.77277763514650788</v>
      </c>
      <c r="R40" s="143">
        <f>'tab2 lvl'!R40/'tab2 percent'!R55</f>
        <v>0.74180868572629599</v>
      </c>
      <c r="S40" s="143">
        <f>'tab2 lvl'!S40/'tab2 percent'!S55</f>
        <v>0.75134496912973914</v>
      </c>
      <c r="T40" s="143">
        <f>'tab2 lvl'!T40/'tab2 percent'!T55</f>
        <v>0.69142457549839598</v>
      </c>
      <c r="U40" s="143">
        <f>'tab2 lvl'!U40/'tab2 percent'!U55</f>
        <v>0.70576441129687106</v>
      </c>
      <c r="V40" s="143">
        <f>'tab2 lvl'!V40/'tab2 percent'!V55</f>
        <v>0.70540870826971369</v>
      </c>
      <c r="W40" s="143">
        <f>'tab2 lvl'!W40/'tab2 percent'!W55</f>
        <v>0.68172780247602283</v>
      </c>
      <c r="X40" s="143">
        <f>'tab2 lvl'!X40/'tab2 percent'!X55</f>
        <v>0.681702916728959</v>
      </c>
      <c r="Y40" s="143">
        <f>'tab2 lvl'!Y40/'tab2 percent'!Y55</f>
        <v>0.70317476103557219</v>
      </c>
      <c r="Z40" s="143">
        <f>'tab2 lvl'!Z40/'tab2 percent'!Z55</f>
        <v>0.71297985991253254</v>
      </c>
      <c r="AA40" s="143">
        <f>'tab2 lvl'!AA40/'tab2 percent'!AA55</f>
        <v>0.69547581966706695</v>
      </c>
      <c r="AB40" s="143">
        <f>'tab2 lvl'!AB40/'tab2 percent'!AB55</f>
        <v>0.70889274466472996</v>
      </c>
      <c r="AC40" s="143">
        <f>'tab2 lvl'!AC40/'tab2 percent'!AC55</f>
        <v>0.69210291484584174</v>
      </c>
      <c r="AD40" s="143">
        <f>'tab2 lvl'!AD40/'tab2 percent'!AD55</f>
        <v>0.6882830204169047</v>
      </c>
      <c r="AE40" s="143">
        <f>'tab2 lvl'!AE40/'tab2 percent'!AE55</f>
        <v>0.6842261324331208</v>
      </c>
      <c r="AF40" s="143">
        <f>'tab2 lvl'!AF40/'tab2 percent'!AF55</f>
        <v>0.72961288534369828</v>
      </c>
      <c r="AG40" s="143">
        <f>'tab2 lvl'!AG40/'tab2 percent'!AG55</f>
        <v>0.72605264274624992</v>
      </c>
      <c r="AH40" s="143">
        <f>'tab2 lvl'!AH40/'tab2 percent'!AH55</f>
        <v>0.70961040004420595</v>
      </c>
      <c r="AI40" s="143">
        <f>'tab2 lvl'!AI40/'tab2 percent'!AI55</f>
        <v>0.76796540506166944</v>
      </c>
      <c r="AJ40" s="143">
        <f>'tab2 lvl'!AJ40/'tab2 percent'!AJ55</f>
        <v>0.78215008072111036</v>
      </c>
      <c r="AK40" s="143">
        <f>'tab2 lvl'!AK40/'tab2 percent'!AK55</f>
        <v>0.74342202103907262</v>
      </c>
      <c r="AL40" s="143">
        <f>'tab2 lvl'!AL40/'tab2 percent'!AL55</f>
        <v>0.7314737028641114</v>
      </c>
      <c r="AM40" s="143">
        <f>'tab2 lvl'!AM40/'tab2 percent'!AM55</f>
        <v>0.73915817628984803</v>
      </c>
      <c r="AN40" s="143">
        <f>'tab2 lvl'!AN40/'tab2 percent'!AN55</f>
        <v>0.7097400988070709</v>
      </c>
      <c r="AO40" s="143">
        <f>'tab2 lvl'!AO40/'tab2 percent'!AO55</f>
        <v>0.71334752252881106</v>
      </c>
      <c r="AP40" s="143">
        <f>'tab2 lvl'!AP40/'tab2 percent'!AP55</f>
        <v>0.70182713712076294</v>
      </c>
      <c r="AQ40" s="143">
        <f>'tab2 lvl'!AQ40/'tab2 percent'!AQ55</f>
        <v>0.66657117181248737</v>
      </c>
      <c r="AR40" s="143">
        <f>'tab2 lvl'!AR40/'tab2 percent'!AR55</f>
        <v>0.66314032744234541</v>
      </c>
      <c r="AS40" s="143">
        <f>'tab2 lvl'!AS40/'tab2 percent'!AS55</f>
        <v>0.64277112803082137</v>
      </c>
      <c r="AT40" s="143">
        <f>'tab2 lvl'!AT40/'tab2 percent'!AT55</f>
        <v>0.61793129010782488</v>
      </c>
      <c r="AU40" s="143">
        <f>'tab2 lvl'!AU40/'tab2 percent'!AU55</f>
        <v>0.60253210450161954</v>
      </c>
      <c r="AV40" s="143">
        <f>'tab2 lvl'!AV40/'tab2 percent'!AV55</f>
        <v>0.58798673402959378</v>
      </c>
      <c r="AW40" s="143">
        <f>'tab2 lvl'!AW40/'tab2 percent'!AW55</f>
        <v>0.56825387041125619</v>
      </c>
      <c r="AX40" s="143">
        <f>'tab2 lvl'!AX40/'tab2 percent'!AX55</f>
        <v>0.55256084634649638</v>
      </c>
      <c r="AY40" s="143">
        <f>'tab2 lvl'!AY40/'tab2 percent'!AY55</f>
        <v>0.55777922185189155</v>
      </c>
    </row>
    <row r="41" spans="1:51" ht="16.5">
      <c r="A41" s="6"/>
      <c r="B41" s="6"/>
      <c r="C41" s="5" t="s">
        <v>10</v>
      </c>
      <c r="D41" s="5"/>
      <c r="E41" s="138">
        <f>'tab2 lvl'!E41/'tab2 percent'!E55</f>
        <v>0.31814914573195652</v>
      </c>
      <c r="F41" s="138">
        <f>'tab2 lvl'!F41/'tab2 percent'!F55</f>
        <v>0.31397929149418946</v>
      </c>
      <c r="G41" s="138">
        <f>'tab2 lvl'!G41/'tab2 percent'!G55</f>
        <v>0.31767517861730898</v>
      </c>
      <c r="H41" s="138">
        <f>'tab2 lvl'!H41/'tab2 percent'!H55</f>
        <v>0.33200995989598536</v>
      </c>
      <c r="I41" s="138">
        <f>'tab2 lvl'!I41/'tab2 percent'!I55</f>
        <v>0.36911668403070241</v>
      </c>
      <c r="J41" s="138">
        <f>'tab2 lvl'!J41/'tab2 percent'!J55</f>
        <v>0.3450541485430072</v>
      </c>
      <c r="K41" s="138">
        <f>'tab2 lvl'!K41/'tab2 percent'!K55</f>
        <v>0.3363210116342365</v>
      </c>
      <c r="L41" s="138">
        <f>'tab2 lvl'!L41/'tab2 percent'!L55</f>
        <v>0.30740783455623971</v>
      </c>
      <c r="M41" s="138">
        <f>'tab2 lvl'!M41/'tab2 percent'!M55</f>
        <v>0.27824916323737053</v>
      </c>
      <c r="N41" s="138">
        <f>'tab2 lvl'!N41/'tab2 percent'!N55</f>
        <v>0.2776912666610552</v>
      </c>
      <c r="O41" s="138">
        <f>'tab2 lvl'!O41/'tab2 percent'!O55</f>
        <v>0.27888733171654423</v>
      </c>
      <c r="P41" s="138">
        <f>'tab2 lvl'!P41/'tab2 percent'!P55</f>
        <v>0.30444492351140789</v>
      </c>
      <c r="Q41" s="138">
        <f>'tab2 lvl'!Q41/'tab2 percent'!Q55</f>
        <v>0.30175419746639426</v>
      </c>
      <c r="R41" s="138">
        <f>'tab2 lvl'!R41/'tab2 percent'!R55</f>
        <v>0.30326373420939168</v>
      </c>
      <c r="S41" s="138">
        <f>'tab2 lvl'!S41/'tab2 percent'!S55</f>
        <v>0.33397711048999007</v>
      </c>
      <c r="T41" s="138">
        <f>'tab2 lvl'!T41/'tab2 percent'!T55</f>
        <v>0.31831340541545494</v>
      </c>
      <c r="U41" s="138">
        <f>'tab2 lvl'!U41/'tab2 percent'!U55</f>
        <v>0.32675932434765365</v>
      </c>
      <c r="V41" s="138">
        <f>'tab2 lvl'!V41/'tab2 percent'!V55</f>
        <v>0.33172652433710803</v>
      </c>
      <c r="W41" s="138">
        <f>'tab2 lvl'!W41/'tab2 percent'!W55</f>
        <v>0.3294478654900293</v>
      </c>
      <c r="X41" s="138">
        <f>'tab2 lvl'!X41/'tab2 percent'!X55</f>
        <v>0.30155610795168392</v>
      </c>
      <c r="Y41" s="138">
        <f>'tab2 lvl'!Y41/'tab2 percent'!Y55</f>
        <v>0.32120240175750958</v>
      </c>
      <c r="Z41" s="138">
        <f>'tab2 lvl'!Z41/'tab2 percent'!Z55</f>
        <v>0.33311592113587873</v>
      </c>
      <c r="AA41" s="138">
        <f>'tab2 lvl'!AA41/'tab2 percent'!AA55</f>
        <v>0.31805625765344736</v>
      </c>
      <c r="AB41" s="138">
        <f>'tab2 lvl'!AB41/'tab2 percent'!AB55</f>
        <v>0.335364539561265</v>
      </c>
      <c r="AC41" s="138">
        <f>'tab2 lvl'!AC41/'tab2 percent'!AC55</f>
        <v>0.33348898916786263</v>
      </c>
      <c r="AD41" s="138">
        <f>'tab2 lvl'!AD41/'tab2 percent'!AD55</f>
        <v>0.33801669932612172</v>
      </c>
      <c r="AE41" s="138">
        <f>'tab2 lvl'!AE41/'tab2 percent'!AE55</f>
        <v>0.35239253698553535</v>
      </c>
      <c r="AF41" s="138">
        <f>'tab2 lvl'!AF41/'tab2 percent'!AF55</f>
        <v>0.41403890159981371</v>
      </c>
      <c r="AG41" s="138">
        <f>'tab2 lvl'!AG41/'tab2 percent'!AG55</f>
        <v>0.41253760381649496</v>
      </c>
      <c r="AH41" s="138">
        <f>'tab2 lvl'!AH41/'tab2 percent'!AH55</f>
        <v>0.40224473202083783</v>
      </c>
      <c r="AI41" s="138">
        <f>'tab2 lvl'!AI41/'tab2 percent'!AI55</f>
        <v>0.46346531427990595</v>
      </c>
      <c r="AJ41" s="138">
        <f>'tab2 lvl'!AJ41/'tab2 percent'!AJ55</f>
        <v>0.49165632223353789</v>
      </c>
      <c r="AK41" s="138">
        <f>'tab2 lvl'!AK41/'tab2 percent'!AK55</f>
        <v>0.49349005448678518</v>
      </c>
      <c r="AL41" s="138">
        <f>'tab2 lvl'!AL41/'tab2 percent'!AL55</f>
        <v>0.4911283745577244</v>
      </c>
      <c r="AM41" s="138">
        <f>'tab2 lvl'!AM41/'tab2 percent'!AM55</f>
        <v>0.50390653225313153</v>
      </c>
      <c r="AN41" s="138">
        <f>'tab2 lvl'!AN41/'tab2 percent'!AN55</f>
        <v>0.49425704492882028</v>
      </c>
      <c r="AO41" s="138">
        <f>'tab2 lvl'!AO41/'tab2 percent'!AO55</f>
        <v>0.51377400063798129</v>
      </c>
      <c r="AP41" s="138">
        <f>'tab2 lvl'!AP41/'tab2 percent'!AP55</f>
        <v>0.50053918908380068</v>
      </c>
      <c r="AQ41" s="138">
        <f>'tab2 lvl'!AQ41/'tab2 percent'!AQ55</f>
        <v>0.47147696393525024</v>
      </c>
      <c r="AR41" s="138">
        <f>'tab2 lvl'!AR41/'tab2 percent'!AR55</f>
        <v>0.47197655277933681</v>
      </c>
      <c r="AS41" s="138">
        <f>'tab2 lvl'!AS41/'tab2 percent'!AS55</f>
        <v>0.45445505784866608</v>
      </c>
      <c r="AT41" s="138">
        <f>'tab2 lvl'!AT41/'tab2 percent'!AT55</f>
        <v>0.43923075564119057</v>
      </c>
      <c r="AU41" s="138">
        <f>'tab2 lvl'!AU41/'tab2 percent'!AU55</f>
        <v>0.42502573240113528</v>
      </c>
      <c r="AV41" s="138">
        <f>'tab2 lvl'!AV41/'tab2 percent'!AV55</f>
        <v>0.41939748325349596</v>
      </c>
      <c r="AW41" s="138">
        <f>'tab2 lvl'!AW41/'tab2 percent'!AW55</f>
        <v>0.40106471166270197</v>
      </c>
      <c r="AX41" s="138">
        <f>'tab2 lvl'!AX41/'tab2 percent'!AX55</f>
        <v>0.38424801295505906</v>
      </c>
      <c r="AY41" s="138">
        <f>'tab2 lvl'!AY41/'tab2 percent'!AY55</f>
        <v>0.38444033133353733</v>
      </c>
    </row>
    <row r="42" spans="1:51" ht="16.5">
      <c r="A42" s="50"/>
      <c r="B42" s="50"/>
      <c r="C42" s="9" t="s">
        <v>11</v>
      </c>
      <c r="D42" s="9"/>
      <c r="E42" s="136">
        <f>'tab2 lvl'!E42/'tab2 percent'!E55</f>
        <v>0.78750797707675002</v>
      </c>
      <c r="F42" s="136">
        <f>'tab2 lvl'!F42/'tab2 percent'!F55</f>
        <v>0.76530205828452447</v>
      </c>
      <c r="G42" s="136">
        <f>'tab2 lvl'!G42/'tab2 percent'!G55</f>
        <v>0.73451460074202157</v>
      </c>
      <c r="H42" s="136">
        <f>'tab2 lvl'!H42/'tab2 percent'!H55</f>
        <v>0.70095963175003684</v>
      </c>
      <c r="I42" s="136">
        <f>'tab2 lvl'!I42/'tab2 percent'!I55</f>
        <v>0.6692397709740604</v>
      </c>
      <c r="J42" s="136">
        <f>'tab2 lvl'!J42/'tab2 percent'!J55</f>
        <v>0.66697500091900874</v>
      </c>
      <c r="K42" s="136">
        <f>'tab2 lvl'!K42/'tab2 percent'!K55</f>
        <v>0.65967012415729465</v>
      </c>
      <c r="L42" s="136">
        <f>'tab2 lvl'!L42/'tab2 percent'!L55</f>
        <v>0.57918608695345164</v>
      </c>
      <c r="M42" s="136">
        <f>'tab2 lvl'!M42/'tab2 percent'!M55</f>
        <v>0.57210925201075125</v>
      </c>
      <c r="N42" s="136">
        <f>'tab2 lvl'!N42/'tab2 percent'!N55</f>
        <v>0.56117551229093598</v>
      </c>
      <c r="O42" s="136">
        <f>'tab2 lvl'!O42/'tab2 percent'!O55</f>
        <v>0.51999678993875953</v>
      </c>
      <c r="P42" s="136">
        <f>'tab2 lvl'!P42/'tab2 percent'!P55</f>
        <v>0.4831230971444041</v>
      </c>
      <c r="Q42" s="136">
        <f>'tab2 lvl'!Q42/'tab2 percent'!Q55</f>
        <v>0.47102343768011368</v>
      </c>
      <c r="R42" s="136">
        <f>'tab2 lvl'!R42/'tab2 percent'!R55</f>
        <v>0.43854495151690431</v>
      </c>
      <c r="S42" s="136">
        <f>'tab2 lvl'!S42/'tab2 percent'!S55</f>
        <v>0.41736785863974901</v>
      </c>
      <c r="T42" s="136">
        <f>'tab2 lvl'!T42/'tab2 percent'!T55</f>
        <v>0.37311117008294115</v>
      </c>
      <c r="U42" s="136">
        <f>'tab2 lvl'!U42/'tab2 percent'!U55</f>
        <v>0.37900508694921742</v>
      </c>
      <c r="V42" s="136">
        <f>'tab2 lvl'!V42/'tab2 percent'!V55</f>
        <v>0.37368218393260572</v>
      </c>
      <c r="W42" s="136">
        <f>'tab2 lvl'!W42/'tab2 percent'!W55</f>
        <v>0.35227993698599347</v>
      </c>
      <c r="X42" s="136">
        <f>'tab2 lvl'!X42/'tab2 percent'!X55</f>
        <v>0.38014680877727514</v>
      </c>
      <c r="Y42" s="136">
        <f>'tab2 lvl'!Y42/'tab2 percent'!Y55</f>
        <v>0.38197235927806256</v>
      </c>
      <c r="Z42" s="136">
        <f>'tab2 lvl'!Z42/'tab2 percent'!Z55</f>
        <v>0.37986393877665386</v>
      </c>
      <c r="AA42" s="136">
        <f>'tab2 lvl'!AA42/'tab2 percent'!AA55</f>
        <v>0.37741956201361959</v>
      </c>
      <c r="AB42" s="136">
        <f>'tab2 lvl'!AB42/'tab2 percent'!AB55</f>
        <v>0.37352820510346507</v>
      </c>
      <c r="AC42" s="136">
        <f>'tab2 lvl'!AC42/'tab2 percent'!AC55</f>
        <v>0.35861392567797923</v>
      </c>
      <c r="AD42" s="136">
        <f>'tab2 lvl'!AD42/'tab2 percent'!AD55</f>
        <v>0.35026632109078298</v>
      </c>
      <c r="AE42" s="136">
        <f>'tab2 lvl'!AE42/'tab2 percent'!AE55</f>
        <v>0.33183359544758539</v>
      </c>
      <c r="AF42" s="136">
        <f>'tab2 lvl'!AF42/'tab2 percent'!AF55</f>
        <v>0.31557398374388457</v>
      </c>
      <c r="AG42" s="136">
        <f>'tab2 lvl'!AG42/'tab2 percent'!AG55</f>
        <v>0.31351503892975496</v>
      </c>
      <c r="AH42" s="136">
        <f>'tab2 lvl'!AH42/'tab2 percent'!AH55</f>
        <v>0.30736566802336812</v>
      </c>
      <c r="AI42" s="136">
        <f>'tab2 lvl'!AI42/'tab2 percent'!AI55</f>
        <v>0.30450009078176349</v>
      </c>
      <c r="AJ42" s="136">
        <f>'tab2 lvl'!AJ42/'tab2 percent'!AJ55</f>
        <v>0.29049375848757247</v>
      </c>
      <c r="AK42" s="136">
        <f>'tab2 lvl'!AK42/'tab2 percent'!AK55</f>
        <v>0.24993196655228753</v>
      </c>
      <c r="AL42" s="136">
        <f>'tab2 lvl'!AL42/'tab2 percent'!AL55</f>
        <v>0.240345328306387</v>
      </c>
      <c r="AM42" s="136">
        <f>'tab2 lvl'!AM42/'tab2 percent'!AM55</f>
        <v>0.23525164403671647</v>
      </c>
      <c r="AN42" s="136">
        <f>'tab2 lvl'!AN42/'tab2 percent'!AN55</f>
        <v>0.21548305387825062</v>
      </c>
      <c r="AO42" s="136">
        <f>'tab2 lvl'!AO42/'tab2 percent'!AO55</f>
        <v>0.19957352189082983</v>
      </c>
      <c r="AP42" s="136">
        <f>'tab2 lvl'!AP42/'tab2 percent'!AP55</f>
        <v>0.20128794803696223</v>
      </c>
      <c r="AQ42" s="136">
        <f>'tab2 lvl'!AQ42/'tab2 percent'!AQ55</f>
        <v>0.19509420787723722</v>
      </c>
      <c r="AR42" s="136">
        <f>'tab2 lvl'!AR42/'tab2 percent'!AR55</f>
        <v>0.19116377466300871</v>
      </c>
      <c r="AS42" s="136">
        <f>'tab2 lvl'!AS42/'tab2 percent'!AS55</f>
        <v>0.18831607018215529</v>
      </c>
      <c r="AT42" s="136">
        <f>'tab2 lvl'!AT42/'tab2 percent'!AT55</f>
        <v>0.17870053446663434</v>
      </c>
      <c r="AU42" s="136">
        <f>'tab2 lvl'!AU42/'tab2 percent'!AU55</f>
        <v>0.17750637210048431</v>
      </c>
      <c r="AV42" s="136">
        <f>'tab2 lvl'!AV42/'tab2 percent'!AV55</f>
        <v>0.16858925077609779</v>
      </c>
      <c r="AW42" s="136">
        <f>'tab2 lvl'!AW42/'tab2 percent'!AW55</f>
        <v>0.16718915874855428</v>
      </c>
      <c r="AX42" s="136">
        <f>'tab2 lvl'!AX42/'tab2 percent'!AX55</f>
        <v>0.16831283339143738</v>
      </c>
      <c r="AY42" s="136">
        <f>'tab2 lvl'!AY42/'tab2 percent'!AY55</f>
        <v>0.17333889051835416</v>
      </c>
    </row>
    <row r="43" spans="1:51" ht="16.5">
      <c r="A43" s="67" t="s">
        <v>38</v>
      </c>
      <c r="B43" s="2"/>
      <c r="C43" s="2"/>
      <c r="D43" s="2"/>
      <c r="E43" s="118"/>
      <c r="F43" s="2"/>
      <c r="G43" s="2"/>
      <c r="H43" s="118"/>
      <c r="I43" s="118"/>
      <c r="J43" s="118"/>
      <c r="K43" s="2"/>
      <c r="L43" s="2"/>
      <c r="M43" s="3"/>
      <c r="N43" s="3"/>
      <c r="O43" s="3"/>
      <c r="P43" s="3"/>
      <c r="Q43" s="96"/>
      <c r="R43" s="96"/>
      <c r="S43" s="96"/>
      <c r="T43" s="96"/>
      <c r="U43" s="96"/>
      <c r="V43" s="96"/>
      <c r="W43" s="96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4"/>
      <c r="AP43" s="4"/>
      <c r="AQ43" s="4"/>
      <c r="AR43" s="97"/>
      <c r="AS43" s="4"/>
      <c r="AU43" s="4"/>
      <c r="AV43" s="4"/>
      <c r="AW43" s="4"/>
      <c r="AX43" s="4"/>
      <c r="AY43" s="4"/>
    </row>
    <row r="44" spans="1:51" ht="16.5">
      <c r="A44" s="119" t="s">
        <v>39</v>
      </c>
      <c r="B44" s="40" t="s">
        <v>80</v>
      </c>
      <c r="C44" s="40"/>
      <c r="D44" s="40"/>
      <c r="E44" s="131">
        <f>'tab2 lvl'!E44/'tab2 percent'!E55</f>
        <v>0.16071276310856408</v>
      </c>
      <c r="F44" s="131">
        <f>'tab2 lvl'!F44/'tab2 percent'!F55</f>
        <v>0.15800081819179612</v>
      </c>
      <c r="G44" s="131">
        <f>'tab2 lvl'!G44/'tab2 percent'!G55</f>
        <v>0.16396736332032982</v>
      </c>
      <c r="H44" s="131">
        <f>'tab2 lvl'!H44/'tab2 percent'!H55</f>
        <v>0.1628195651346028</v>
      </c>
      <c r="I44" s="131">
        <f>'tab2 lvl'!I44/'tab2 percent'!I55</f>
        <v>0.11521942309684477</v>
      </c>
      <c r="J44" s="131">
        <f>'tab2 lvl'!J44/'tab2 percent'!J55</f>
        <v>0.11359783953104188</v>
      </c>
      <c r="K44" s="131">
        <f>'tab2 lvl'!K44/'tab2 percent'!K55</f>
        <v>0.10813048727987466</v>
      </c>
      <c r="L44" s="131">
        <f>'tab2 lvl'!L44/'tab2 percent'!L55</f>
        <v>0.10327136629826957</v>
      </c>
      <c r="M44" s="131">
        <f>'tab2 lvl'!M44/'tab2 percent'!M55</f>
        <v>9.7923588210940868E-2</v>
      </c>
      <c r="N44" s="131">
        <f>'tab2 lvl'!N44/'tab2 percent'!N55</f>
        <v>9.9343207403862072E-2</v>
      </c>
      <c r="O44" s="131">
        <f>'tab2 lvl'!O44/'tab2 percent'!O55</f>
        <v>9.0455966109472583E-2</v>
      </c>
      <c r="P44" s="131">
        <f>'tab2 lvl'!P44/'tab2 percent'!P55</f>
        <v>9.0880677999291046E-2</v>
      </c>
      <c r="Q44" s="131">
        <f>'tab2 lvl'!Q44/'tab2 percent'!Q55</f>
        <v>8.6977065676626691E-2</v>
      </c>
      <c r="R44" s="131">
        <f>'tab2 lvl'!R44/'tab2 percent'!R55</f>
        <v>8.0247451146013726E-2</v>
      </c>
      <c r="S44" s="131">
        <f>'tab2 lvl'!S44/'tab2 percent'!S55</f>
        <v>7.6581925099812626E-2</v>
      </c>
      <c r="T44" s="131">
        <f>'tab2 lvl'!T44/'tab2 percent'!T55</f>
        <v>7.0245698324362754E-2</v>
      </c>
      <c r="U44" s="131">
        <f>'tab2 lvl'!U44/'tab2 percent'!U55</f>
        <v>7.3888643935950279E-2</v>
      </c>
      <c r="V44" s="131">
        <f>'tab2 lvl'!V44/'tab2 percent'!V55</f>
        <v>7.2164898739740677E-2</v>
      </c>
      <c r="W44" s="131">
        <f>'tab2 lvl'!W44/'tab2 percent'!W55</f>
        <v>6.8225014002509132E-2</v>
      </c>
      <c r="X44" s="131">
        <f>'tab2 lvl'!X44/'tab2 percent'!X55</f>
        <v>7.066233055900327E-2</v>
      </c>
      <c r="Y44" s="131">
        <f>'tab2 lvl'!Y44/'tab2 percent'!Y55</f>
        <v>7.0743022647000275E-2</v>
      </c>
      <c r="Z44" s="131">
        <f>'tab2 lvl'!Z44/'tab2 percent'!Z55</f>
        <v>7.3779050865879825E-2</v>
      </c>
      <c r="AA44" s="131">
        <f>'tab2 lvl'!AA44/'tab2 percent'!AA55</f>
        <v>7.3361427816070843E-2</v>
      </c>
      <c r="AB44" s="131">
        <f>'tab2 lvl'!AB44/'tab2 percent'!AB55</f>
        <v>7.6516702979251686E-2</v>
      </c>
      <c r="AC44" s="131">
        <f>'tab2 lvl'!AC44/'tab2 percent'!AC55</f>
        <v>7.0840081130799828E-2</v>
      </c>
      <c r="AD44" s="131">
        <f>'tab2 lvl'!AD44/'tab2 percent'!AD55</f>
        <v>7.1321708601521358E-2</v>
      </c>
      <c r="AE44" s="131">
        <f>'tab2 lvl'!AE44/'tab2 percent'!AE55</f>
        <v>6.39318334720686E-2</v>
      </c>
      <c r="AF44" s="131">
        <f>'tab2 lvl'!AF44/'tab2 percent'!AF55</f>
        <v>6.1066165527107301E-2</v>
      </c>
      <c r="AG44" s="131">
        <f>'tab2 lvl'!AG44/'tab2 percent'!AG55</f>
        <v>5.7121484274679925E-2</v>
      </c>
      <c r="AH44" s="131">
        <f>'tab2 lvl'!AH44/'tab2 percent'!AH55</f>
        <v>6.3477380217709156E-2</v>
      </c>
      <c r="AI44" s="131">
        <f>'tab2 lvl'!AI44/'tab2 percent'!AI55</f>
        <v>6.1257053161838965E-2</v>
      </c>
      <c r="AJ44" s="131">
        <f>'tab2 lvl'!AJ44/'tab2 percent'!AJ55</f>
        <v>5.9059778851837906E-2</v>
      </c>
      <c r="AK44" s="131">
        <f>'tab2 lvl'!AK44/'tab2 percent'!AK55</f>
        <v>5.5609508592902424E-2</v>
      </c>
      <c r="AL44" s="131">
        <f>'tab2 lvl'!AL44/'tab2 percent'!AL55</f>
        <v>5.408099301377791E-2</v>
      </c>
      <c r="AM44" s="131">
        <f>'tab2 lvl'!AM44/'tab2 percent'!AM55</f>
        <v>4.8726940345715994E-2</v>
      </c>
      <c r="AN44" s="131">
        <f>'tab2 lvl'!AN44/'tab2 percent'!AN55</f>
        <v>4.756251935761549E-2</v>
      </c>
      <c r="AO44" s="131">
        <f>'tab2 lvl'!AO44/'tab2 percent'!AO55</f>
        <v>4.4492737831666067E-2</v>
      </c>
      <c r="AP44" s="131">
        <f>'tab2 lvl'!AP44/'tab2 percent'!AP55</f>
        <v>4.4529969102558124E-2</v>
      </c>
      <c r="AQ44" s="131">
        <f>'tab2 lvl'!AQ44/'tab2 percent'!AQ55</f>
        <v>4.3237179159780897E-2</v>
      </c>
      <c r="AR44" s="131">
        <f>'tab2 lvl'!AR44/'tab2 percent'!AR55</f>
        <v>4.0789926709492386E-2</v>
      </c>
      <c r="AS44" s="131">
        <f>'tab2 lvl'!AS44/'tab2 percent'!AS55</f>
        <v>4.0000532870923568E-2</v>
      </c>
      <c r="AT44" s="131">
        <f>'tab2 lvl'!AT44/'tab2 percent'!AT55</f>
        <v>3.8279964652111406E-2</v>
      </c>
      <c r="AU44" s="131">
        <f>'tab2 lvl'!AU44/'tab2 percent'!AU55</f>
        <v>3.7027922348370053E-2</v>
      </c>
      <c r="AV44" s="131">
        <f>'tab2 lvl'!AV44/'tab2 percent'!AV55</f>
        <v>3.3711373867175584E-2</v>
      </c>
      <c r="AW44" s="131">
        <f>'tab2 lvl'!AW44/'tab2 percent'!AW55</f>
        <v>3.2489238094240182E-2</v>
      </c>
      <c r="AX44" s="131">
        <f>'tab2 lvl'!AX44/'tab2 percent'!AX55</f>
        <v>3.0998809123471686E-2</v>
      </c>
      <c r="AY44" s="131">
        <f>'tab2 lvl'!AY44/'tab2 percent'!AY55</f>
        <v>3.3984831406381172E-2</v>
      </c>
    </row>
    <row r="45" spans="1:51" ht="16.5">
      <c r="A45" s="40"/>
      <c r="B45" s="40"/>
      <c r="C45" s="40" t="s">
        <v>10</v>
      </c>
      <c r="D45" s="40"/>
      <c r="E45" s="131">
        <f>'tab2 lvl'!E45/'tab2 percent'!E55</f>
        <v>7.5370360452037917E-3</v>
      </c>
      <c r="F45" s="131">
        <f>'tab2 lvl'!F45/'tab2 percent'!F55</f>
        <v>6.2701014092189592E-3</v>
      </c>
      <c r="G45" s="131">
        <f>'tab2 lvl'!G45/'tab2 percent'!G55</f>
        <v>6.4634722583580377E-3</v>
      </c>
      <c r="H45" s="131">
        <f>'tab2 lvl'!H45/'tab2 percent'!H55</f>
        <v>6.4709345983300246E-3</v>
      </c>
      <c r="I45" s="131">
        <f>'tab2 lvl'!I45/'tab2 percent'!I55</f>
        <v>5.8988754934727952E-3</v>
      </c>
      <c r="J45" s="131">
        <f>'tab2 lvl'!J45/'tab2 percent'!J55</f>
        <v>7.2352911252714777E-3</v>
      </c>
      <c r="K45" s="131">
        <f>'tab2 lvl'!K45/'tab2 percent'!K55</f>
        <v>6.7430941989386735E-3</v>
      </c>
      <c r="L45" s="131">
        <f>'tab2 lvl'!L45/'tab2 percent'!L55</f>
        <v>8.4861080533662099E-3</v>
      </c>
      <c r="M45" s="131">
        <f>'tab2 lvl'!M45/'tab2 percent'!M55</f>
        <v>8.2631137731951129E-3</v>
      </c>
      <c r="N45" s="131">
        <f>'tab2 lvl'!N45/'tab2 percent'!N55</f>
        <v>8.0573567282946484E-3</v>
      </c>
      <c r="O45" s="131">
        <f>'tab2 lvl'!O45/'tab2 percent'!O55</f>
        <v>8.2026047631469645E-3</v>
      </c>
      <c r="P45" s="131">
        <f>'tab2 lvl'!P45/'tab2 percent'!P55</f>
        <v>1.1499153983866134E-2</v>
      </c>
      <c r="Q45" s="131">
        <f>'tab2 lvl'!Q45/'tab2 percent'!Q55</f>
        <v>1.1251745572964714E-2</v>
      </c>
      <c r="R45" s="131">
        <f>'tab2 lvl'!R45/'tab2 percent'!R55</f>
        <v>1.0960917115467357E-2</v>
      </c>
      <c r="S45" s="131">
        <f>'tab2 lvl'!S45/'tab2 percent'!S55</f>
        <v>9.6907583016134051E-3</v>
      </c>
      <c r="T45" s="131">
        <f>'tab2 lvl'!T45/'tab2 percent'!T55</f>
        <v>9.4255954941451989E-3</v>
      </c>
      <c r="U45" s="131">
        <f>'tab2 lvl'!U45/'tab2 percent'!U55</f>
        <v>1.0373097370902178E-2</v>
      </c>
      <c r="V45" s="131">
        <f>'tab2 lvl'!V45/'tab2 percent'!V55</f>
        <v>1.0049283345480799E-2</v>
      </c>
      <c r="W45" s="131">
        <f>'tab2 lvl'!W45/'tab2 percent'!W55</f>
        <v>9.7011778072536321E-3</v>
      </c>
      <c r="X45" s="131">
        <f>'tab2 lvl'!X45/'tab2 percent'!X55</f>
        <v>9.442548365132938E-3</v>
      </c>
      <c r="Y45" s="131">
        <f>'tab2 lvl'!Y45/'tab2 percent'!Y55</f>
        <v>1.1394257614554187E-2</v>
      </c>
      <c r="Z45" s="131">
        <f>'tab2 lvl'!Z45/'tab2 percent'!Z55</f>
        <v>1.1315701644928905E-2</v>
      </c>
      <c r="AA45" s="131">
        <f>'tab2 lvl'!AA45/'tab2 percent'!AA55</f>
        <v>1.1274478452629345E-2</v>
      </c>
      <c r="AB45" s="131">
        <f>'tab2 lvl'!AB45/'tab2 percent'!AB55</f>
        <v>9.9074985332307172E-3</v>
      </c>
      <c r="AC45" s="131">
        <f>'tab2 lvl'!AC45/'tab2 percent'!AC55</f>
        <v>1.106864550992788E-2</v>
      </c>
      <c r="AD45" s="131">
        <f>'tab2 lvl'!AD45/'tab2 percent'!AD55</f>
        <v>1.3160210649502633E-2</v>
      </c>
      <c r="AE45" s="131">
        <f>'tab2 lvl'!AE45/'tab2 percent'!AE55</f>
        <v>1.2822901581582035E-2</v>
      </c>
      <c r="AF45" s="131">
        <f>'tab2 lvl'!AF45/'tab2 percent'!AF55</f>
        <v>1.1156575013217112E-2</v>
      </c>
      <c r="AG45" s="131">
        <f>'tab2 lvl'!AG45/'tab2 percent'!AG55</f>
        <v>9.9689652092936638E-3</v>
      </c>
      <c r="AH45" s="131">
        <f>'tab2 lvl'!AH45/'tab2 percent'!AH55</f>
        <v>1.7460115247750225E-2</v>
      </c>
      <c r="AI45" s="131">
        <f>'tab2 lvl'!AI45/'tab2 percent'!AI55</f>
        <v>1.6954260585439473E-2</v>
      </c>
      <c r="AJ45" s="131">
        <f>'tab2 lvl'!AJ45/'tab2 percent'!AJ55</f>
        <v>1.6232137896382413E-2</v>
      </c>
      <c r="AK45" s="131">
        <f>'tab2 lvl'!AK45/'tab2 percent'!AK55</f>
        <v>1.59315105740701E-2</v>
      </c>
      <c r="AL45" s="131">
        <f>'tab2 lvl'!AL45/'tab2 percent'!AL55</f>
        <v>1.5438625812736853E-2</v>
      </c>
      <c r="AM45" s="131">
        <f>'tab2 lvl'!AM45/'tab2 percent'!AM55</f>
        <v>1.3993261773892275E-2</v>
      </c>
      <c r="AN45" s="131">
        <f>'tab2 lvl'!AN45/'tab2 percent'!AN55</f>
        <v>1.3652095915487501E-2</v>
      </c>
      <c r="AO45" s="131">
        <f>'tab2 lvl'!AO45/'tab2 percent'!AO55</f>
        <v>1.3340411967218815E-2</v>
      </c>
      <c r="AP45" s="131">
        <f>'tab2 lvl'!AP45/'tab2 percent'!AP55</f>
        <v>1.3058476390661744E-2</v>
      </c>
      <c r="AQ45" s="131">
        <f>'tab2 lvl'!AQ45/'tab2 percent'!AQ55</f>
        <v>1.2756908670929951E-2</v>
      </c>
      <c r="AR45" s="131">
        <f>'tab2 lvl'!AR45/'tab2 percent'!AR55</f>
        <v>1.1386912436583185E-2</v>
      </c>
      <c r="AS45" s="131">
        <f>'tab2 lvl'!AS45/'tab2 percent'!AS55</f>
        <v>1.1136323485912607E-2</v>
      </c>
      <c r="AT45" s="131">
        <f>'tab2 lvl'!AT45/'tab2 percent'!AT55</f>
        <v>1.0850072664241516E-2</v>
      </c>
      <c r="AU45" s="131">
        <f>'tab2 lvl'!AU45/'tab2 percent'!AU55</f>
        <v>1.0612580915513406E-2</v>
      </c>
      <c r="AV45" s="131">
        <f>'tab2 lvl'!AV45/'tab2 percent'!AV55</f>
        <v>9.3388804448657319E-3</v>
      </c>
      <c r="AW45" s="131">
        <f>'tab2 lvl'!AW45/'tab2 percent'!AW55</f>
        <v>9.1787390607806548E-3</v>
      </c>
      <c r="AX45" s="131">
        <f>'tab2 lvl'!AX45/'tab2 percent'!AX55</f>
        <v>8.1706162014740947E-3</v>
      </c>
      <c r="AY45" s="131">
        <f>'tab2 lvl'!AY45/'tab2 percent'!AY55</f>
        <v>1.0517740433140185E-2</v>
      </c>
    </row>
    <row r="46" spans="1:51" ht="16.5">
      <c r="A46" s="2"/>
      <c r="B46" s="2"/>
      <c r="C46" s="2"/>
      <c r="D46" s="2" t="s">
        <v>81</v>
      </c>
      <c r="E46" s="118">
        <f>'tab2 lvl'!E46/'tab2 percent'!E55</f>
        <v>7.4978308606930529E-3</v>
      </c>
      <c r="F46" s="118">
        <f>'tab2 lvl'!F46/'tab2 percent'!F55</f>
        <v>6.2320604796732553E-3</v>
      </c>
      <c r="G46" s="118">
        <f>'tab2 lvl'!G46/'tab2 percent'!G55</f>
        <v>6.4265346709718799E-3</v>
      </c>
      <c r="H46" s="118">
        <f>'tab2 lvl'!H46/'tab2 percent'!H55</f>
        <v>6.4351954472618043E-3</v>
      </c>
      <c r="I46" s="118">
        <f>'tab2 lvl'!I46/'tab2 percent'!I55</f>
        <v>5.8639630026802491E-3</v>
      </c>
      <c r="J46" s="118">
        <f>'tab2 lvl'!J46/'tab2 percent'!J55</f>
        <v>7.2013156492527798E-3</v>
      </c>
      <c r="K46" s="118">
        <f>'tab2 lvl'!K46/'tab2 percent'!K55</f>
        <v>6.7099367871156466E-3</v>
      </c>
      <c r="L46" s="118">
        <f>'tab2 lvl'!L46/'tab2 percent'!L55</f>
        <v>8.4561666152965526E-3</v>
      </c>
      <c r="M46" s="118">
        <f>'tab2 lvl'!M46/'tab2 percent'!M55</f>
        <v>8.2371955292917364E-3</v>
      </c>
      <c r="N46" s="118">
        <f>'tab2 lvl'!N46/'tab2 percent'!N55</f>
        <v>8.0320780898992094E-3</v>
      </c>
      <c r="O46" s="118">
        <f>'tab2 lvl'!O46/'tab2 percent'!O55</f>
        <v>8.1778931929934358E-3</v>
      </c>
      <c r="P46" s="118">
        <f>'tab2 lvl'!P46/'tab2 percent'!P55</f>
        <v>1.1475075492449001E-2</v>
      </c>
      <c r="Q46" s="118">
        <f>'tab2 lvl'!Q46/'tab2 percent'!Q55</f>
        <v>1.1230516158862202E-2</v>
      </c>
      <c r="R46" s="118">
        <f>'tab2 lvl'!R46/'tab2 percent'!R55</f>
        <v>1.0940211435442583E-2</v>
      </c>
      <c r="S46" s="118">
        <f>'tab2 lvl'!S46/'tab2 percent'!S55</f>
        <v>9.6704766370136804E-3</v>
      </c>
      <c r="T46" s="118">
        <f>'tab2 lvl'!T46/'tab2 percent'!T55</f>
        <v>9.4058645344850013E-3</v>
      </c>
      <c r="U46" s="118">
        <f>'tab2 lvl'!U46/'tab2 percent'!U55</f>
        <v>1.0353760228246533E-2</v>
      </c>
      <c r="V46" s="118">
        <f>'tab2 lvl'!V46/'tab2 percent'!V55</f>
        <v>1.0030545478594055E-2</v>
      </c>
      <c r="W46" s="118">
        <f>'tab2 lvl'!W46/'tab2 percent'!W55</f>
        <v>9.6830843037526721E-3</v>
      </c>
      <c r="X46" s="118">
        <f>'tab2 lvl'!X46/'tab2 percent'!X55</f>
        <v>9.4249338451732924E-3</v>
      </c>
      <c r="Y46" s="118">
        <f>'tab2 lvl'!Y46/'tab2 percent'!Y55</f>
        <v>1.1376856136349795E-2</v>
      </c>
      <c r="Z46" s="118">
        <f>'tab2 lvl'!Z46/'tab2 percent'!Z55</f>
        <v>1.1298416838858074E-2</v>
      </c>
      <c r="AA46" s="118">
        <f>'tab2 lvl'!AA46/'tab2 percent'!AA55</f>
        <v>1.1257254487254582E-2</v>
      </c>
      <c r="AB46" s="118">
        <f>'tab2 lvl'!AB46/'tab2 percent'!AB55</f>
        <v>9.890553906153926E-3</v>
      </c>
      <c r="AC46" s="118">
        <f>'tab2 lvl'!AC46/'tab2 percent'!AC55</f>
        <v>1.1052196808710071E-2</v>
      </c>
      <c r="AD46" s="118">
        <f>'tab2 lvl'!AD46/'tab2 percent'!AD55</f>
        <v>1.3144294909303687E-2</v>
      </c>
      <c r="AE46" s="118">
        <f>'tab2 lvl'!AE46/'tab2 percent'!AE55</f>
        <v>1.2807393639463149E-2</v>
      </c>
      <c r="AF46" s="118">
        <f>'tab2 lvl'!AF46/'tab2 percent'!AF55</f>
        <v>1.1141469742810557E-2</v>
      </c>
      <c r="AG46" s="118">
        <f>'tab2 lvl'!AG46/'tab2 percent'!AG55</f>
        <v>9.954171716124614E-3</v>
      </c>
      <c r="AH46" s="118">
        <f>'tab2 lvl'!AH46/'tab2 percent'!AH55</f>
        <v>1.7445604717800062E-2</v>
      </c>
      <c r="AI46" s="118">
        <f>'tab2 lvl'!AI46/'tab2 percent'!AI55</f>
        <v>1.6939979422524377E-2</v>
      </c>
      <c r="AJ46" s="118">
        <f>'tab2 lvl'!AJ46/'tab2 percent'!AJ55</f>
        <v>1.6218129312210446E-2</v>
      </c>
      <c r="AK46" s="118">
        <f>'tab2 lvl'!AK46/'tab2 percent'!AK55</f>
        <v>1.5917748248820009E-2</v>
      </c>
      <c r="AL46" s="118">
        <f>'tab2 lvl'!AL46/'tab2 percent'!AL55</f>
        <v>1.5425128168075846E-2</v>
      </c>
      <c r="AM46" s="118">
        <f>'tab2 lvl'!AM46/'tab2 percent'!AM55</f>
        <v>1.3980062506296341E-2</v>
      </c>
      <c r="AN46" s="118">
        <f>'tab2 lvl'!AN46/'tab2 percent'!AN55</f>
        <v>1.3639218455596765E-2</v>
      </c>
      <c r="AO46" s="118">
        <f>'tab2 lvl'!AO46/'tab2 percent'!AO55</f>
        <v>1.2611714520859174E-5</v>
      </c>
      <c r="AP46" s="118">
        <f>'tab2 lvl'!AP46/'tab2 percent'!AP55</f>
        <v>1.234517919844567E-5</v>
      </c>
      <c r="AQ46" s="118">
        <f>'tab2 lvl'!AQ46/'tab2 percent'!AQ55</f>
        <v>1.2744828517334352E-2</v>
      </c>
      <c r="AR46" s="118">
        <f>'tab2 lvl'!AR46/'tab2 percent'!AR55</f>
        <v>1.1375129675352005E-2</v>
      </c>
      <c r="AS46" s="118">
        <f>'tab2 lvl'!AS46/'tab2 percent'!AS55</f>
        <v>1.1124783606039364E-2</v>
      </c>
      <c r="AT46" s="118">
        <f>'tab2 lvl'!AT46/'tab2 percent'!AT55</f>
        <v>1.0838810100168086E-2</v>
      </c>
      <c r="AU46" s="118">
        <f>'tab2 lvl'!AU46/'tab2 percent'!AU55</f>
        <v>1.0601545921518959E-2</v>
      </c>
      <c r="AV46" s="118">
        <f>'tab2 lvl'!AV46/'tab2 percent'!AV55</f>
        <v>9.3281232796445322E-3</v>
      </c>
      <c r="AW46" s="118">
        <f>'tab2 lvl'!AW46/'tab2 percent'!AW55</f>
        <v>9.1681100928277057E-3</v>
      </c>
      <c r="AX46" s="118">
        <f>'tab2 lvl'!AX46/'tab2 percent'!AX55</f>
        <v>8.1601266154733738E-3</v>
      </c>
      <c r="AY46" s="118">
        <f>'tab2 lvl'!AY46/'tab2 percent'!AY55</f>
        <v>1.0507358723635989E-2</v>
      </c>
    </row>
    <row r="47" spans="1:51" ht="16.5">
      <c r="A47" s="2"/>
      <c r="B47" s="2"/>
      <c r="C47" s="2"/>
      <c r="D47" s="2" t="s">
        <v>82</v>
      </c>
      <c r="E47" s="118">
        <f>'tab2 lvl'!E47/'tab2 percent'!E55</f>
        <v>3.9205184510738578E-5</v>
      </c>
      <c r="F47" s="118">
        <f>'tab2 lvl'!F47/'tab2 percent'!F55</f>
        <v>3.8040929545703995E-5</v>
      </c>
      <c r="G47" s="118">
        <f>'tab2 lvl'!G47/'tab2 percent'!G55</f>
        <v>3.6937587386157043E-5</v>
      </c>
      <c r="H47" s="118">
        <f>'tab2 lvl'!H47/'tab2 percent'!H55</f>
        <v>3.5739151068219787E-5</v>
      </c>
      <c r="I47" s="118">
        <f>'tab2 lvl'!I47/'tab2 percent'!I55</f>
        <v>3.4912490792545975E-5</v>
      </c>
      <c r="J47" s="118">
        <f>'tab2 lvl'!J47/'tab2 percent'!J55</f>
        <v>3.3975476018698023E-5</v>
      </c>
      <c r="K47" s="118">
        <f>'tab2 lvl'!K47/'tab2 percent'!K55</f>
        <v>3.3157411823027118E-5</v>
      </c>
      <c r="L47" s="118">
        <f>'tab2 lvl'!L47/'tab2 percent'!L55</f>
        <v>2.9941438069657877E-5</v>
      </c>
      <c r="M47" s="118">
        <f>'tab2 lvl'!M47/'tab2 percent'!M55</f>
        <v>2.5918243903376786E-5</v>
      </c>
      <c r="N47" s="118">
        <f>'tab2 lvl'!N47/'tab2 percent'!N55</f>
        <v>2.5278638395439266E-5</v>
      </c>
      <c r="O47" s="118">
        <f>'tab2 lvl'!O47/'tab2 percent'!O55</f>
        <v>2.4711570153529221E-5</v>
      </c>
      <c r="P47" s="118">
        <f>'tab2 lvl'!P47/'tab2 percent'!P55</f>
        <v>2.4078491417134032E-5</v>
      </c>
      <c r="Q47" s="118">
        <f>'tab2 lvl'!Q47/'tab2 percent'!Q55</f>
        <v>2.1229414102512469E-5</v>
      </c>
      <c r="R47" s="118">
        <f>'tab2 lvl'!R47/'tab2 percent'!R55</f>
        <v>2.0705680024773738E-5</v>
      </c>
      <c r="S47" s="118">
        <f>'tab2 lvl'!S47/'tab2 percent'!S55</f>
        <v>2.0281664599726436E-5</v>
      </c>
      <c r="T47" s="118">
        <f>'tab2 lvl'!T47/'tab2 percent'!T55</f>
        <v>1.9730959660198058E-5</v>
      </c>
      <c r="U47" s="118">
        <f>'tab2 lvl'!U47/'tab2 percent'!U55</f>
        <v>1.9337142655646584E-5</v>
      </c>
      <c r="V47" s="118">
        <f>'tab2 lvl'!V47/'tab2 percent'!V55</f>
        <v>1.8737866886744751E-5</v>
      </c>
      <c r="W47" s="118">
        <f>'tab2 lvl'!W47/'tab2 percent'!W55</f>
        <v>1.8093503500959887E-5</v>
      </c>
      <c r="X47" s="118">
        <f>'tab2 lvl'!X47/'tab2 percent'!X55</f>
        <v>1.7614519959647208E-5</v>
      </c>
      <c r="Y47" s="118">
        <f>'tab2 lvl'!Y47/'tab2 percent'!Y55</f>
        <v>1.7401478204392648E-5</v>
      </c>
      <c r="Z47" s="118">
        <f>'tab2 lvl'!Z47/'tab2 percent'!Z55</f>
        <v>1.7284806070830597E-5</v>
      </c>
      <c r="AA47" s="118">
        <f>'tab2 lvl'!AA47/'tab2 percent'!AA55</f>
        <v>1.7223965374763724E-5</v>
      </c>
      <c r="AB47" s="118">
        <f>'tab2 lvl'!AB47/'tab2 percent'!AB55</f>
        <v>1.6944627076791432E-5</v>
      </c>
      <c r="AC47" s="118">
        <f>'tab2 lvl'!AC47/'tab2 percent'!AC55</f>
        <v>1.6448701217808624E-5</v>
      </c>
      <c r="AD47" s="118">
        <f>'tab2 lvl'!AD47/'tab2 percent'!AD55</f>
        <v>1.5915740198946755E-5</v>
      </c>
      <c r="AE47" s="118">
        <f>'tab2 lvl'!AE47/'tab2 percent'!AE55</f>
        <v>1.550794211888662E-5</v>
      </c>
      <c r="AF47" s="118">
        <f>'tab2 lvl'!AF47/'tab2 percent'!AF55</f>
        <v>1.5105270406553913E-5</v>
      </c>
      <c r="AG47" s="118">
        <f>'tab2 lvl'!AG47/'tab2 percent'!AG55</f>
        <v>1.4793493169050144E-5</v>
      </c>
      <c r="AH47" s="118">
        <f>'tab2 lvl'!AH47/'tab2 percent'!AH55</f>
        <v>1.4510529950160596E-5</v>
      </c>
      <c r="AI47" s="118">
        <f>'tab2 lvl'!AI47/'tab2 percent'!AI55</f>
        <v>1.4281162915096177E-5</v>
      </c>
      <c r="AJ47" s="118">
        <f>'tab2 lvl'!AJ47/'tab2 percent'!AJ55</f>
        <v>1.4008584171968555E-5</v>
      </c>
      <c r="AK47" s="118">
        <f>'tab2 lvl'!AK47/'tab2 percent'!AK55</f>
        <v>1.3762325250092316E-5</v>
      </c>
      <c r="AL47" s="118">
        <f>'tab2 lvl'!AL47/'tab2 percent'!AL55</f>
        <v>1.3497644661006655E-5</v>
      </c>
      <c r="AM47" s="118">
        <f>'tab2 lvl'!AM47/'tab2 percent'!AM55</f>
        <v>1.3199267595933929E-5</v>
      </c>
      <c r="AN47" s="118">
        <f>'tab2 lvl'!AN47/'tab2 percent'!AN55</f>
        <v>1.2877459890736648E-5</v>
      </c>
      <c r="AO47" s="118">
        <f>'tab2 lvl'!AO47/'tab2 percent'!AO55</f>
        <v>1.2611714520859174E-5</v>
      </c>
      <c r="AP47" s="118">
        <f>'tab2 lvl'!AP47/'tab2 percent'!AP55</f>
        <v>1.234517919844567E-5</v>
      </c>
      <c r="AQ47" s="118">
        <f>'tab2 lvl'!AQ47/'tab2 percent'!AQ55</f>
        <v>1.208015359559998E-5</v>
      </c>
      <c r="AR47" s="118">
        <f>'tab2 lvl'!AR47/'tab2 percent'!AR55</f>
        <v>1.1782761231180721E-5</v>
      </c>
      <c r="AS47" s="118">
        <f>'tab2 lvl'!AS47/'tab2 percent'!AS55</f>
        <v>1.1539879873244604E-5</v>
      </c>
      <c r="AT47" s="118">
        <f>'tab2 lvl'!AT47/'tab2 percent'!AT55</f>
        <v>1.1262564073430924E-5</v>
      </c>
      <c r="AU47" s="118">
        <f>'tab2 lvl'!AU47/'tab2 percent'!AU55</f>
        <v>1.1034993994447938E-5</v>
      </c>
      <c r="AV47" s="118">
        <f>'tab2 lvl'!AV47/'tab2 percent'!AV55</f>
        <v>1.0757165221198956E-5</v>
      </c>
      <c r="AW47" s="118">
        <f>'tab2 lvl'!AW47/'tab2 percent'!AW55</f>
        <v>1.0628967952949227E-5</v>
      </c>
      <c r="AX47" s="118">
        <f>'tab2 lvl'!AX47/'tab2 percent'!AX55</f>
        <v>1.0489586000721932E-5</v>
      </c>
      <c r="AY47" s="118">
        <f>'tab2 lvl'!AY47/'tab2 percent'!AY55</f>
        <v>1.0381709504195509E-5</v>
      </c>
    </row>
    <row r="48" spans="1:51" ht="16.5">
      <c r="A48" s="41"/>
      <c r="B48" s="41"/>
      <c r="C48" s="41"/>
      <c r="D48" s="41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</row>
    <row r="49" spans="1:52" ht="16.5">
      <c r="A49" s="40"/>
      <c r="B49" s="40"/>
      <c r="C49" s="40" t="s">
        <v>11</v>
      </c>
      <c r="D49" s="40"/>
      <c r="E49" s="131">
        <f>'tab2 lvl'!E49/'tab2 percent'!E55</f>
        <v>0.1531757270633603</v>
      </c>
      <c r="F49" s="131">
        <f>'tab2 lvl'!F49/'tab2 percent'!F55</f>
        <v>0.15173071678257719</v>
      </c>
      <c r="G49" s="131">
        <f>'tab2 lvl'!G49/'tab2 percent'!G55</f>
        <v>0.1575038910619718</v>
      </c>
      <c r="H49" s="131">
        <f>'tab2 lvl'!H49/'tab2 percent'!H55</f>
        <v>0.15634863053627279</v>
      </c>
      <c r="I49" s="131">
        <f>'tab2 lvl'!I49/'tab2 percent'!I55</f>
        <v>0.10932054760337198</v>
      </c>
      <c r="J49" s="131">
        <f>'tab2 lvl'!J49/'tab2 percent'!J55</f>
        <v>0.1063625484057704</v>
      </c>
      <c r="K49" s="131">
        <f>'tab2 lvl'!K49/'tab2 percent'!K55</f>
        <v>0.10138739308093599</v>
      </c>
      <c r="L49" s="131">
        <f>'tab2 lvl'!L49/'tab2 percent'!L55</f>
        <v>9.4785258244903359E-2</v>
      </c>
      <c r="M49" s="131">
        <f>'tab2 lvl'!M49/'tab2 percent'!M55</f>
        <v>8.966047443774576E-2</v>
      </c>
      <c r="N49" s="131">
        <f>'tab2 lvl'!N49/'tab2 percent'!N55</f>
        <v>9.1285850675567423E-2</v>
      </c>
      <c r="O49" s="131">
        <f>'tab2 lvl'!O49/'tab2 percent'!O55</f>
        <v>8.2253361346325618E-2</v>
      </c>
      <c r="P49" s="131">
        <f>'tab2 lvl'!P49/'tab2 percent'!P55</f>
        <v>7.9381524015424906E-2</v>
      </c>
      <c r="Q49" s="131">
        <f>'tab2 lvl'!Q49/'tab2 percent'!Q55</f>
        <v>7.5725320103661967E-2</v>
      </c>
      <c r="R49" s="131">
        <f>'tab2 lvl'!R49/'tab2 percent'!R55</f>
        <v>6.9286534030546354E-2</v>
      </c>
      <c r="S49" s="131">
        <f>'tab2 lvl'!S49/'tab2 percent'!S55</f>
        <v>6.6891166798199231E-2</v>
      </c>
      <c r="T49" s="131">
        <f>'tab2 lvl'!T49/'tab2 percent'!T55</f>
        <v>6.0820102830217562E-2</v>
      </c>
      <c r="U49" s="131">
        <f>'tab2 lvl'!U49/'tab2 percent'!U55</f>
        <v>6.3515546565048084E-2</v>
      </c>
      <c r="V49" s="131">
        <f>'tab2 lvl'!V49/'tab2 percent'!V55</f>
        <v>6.2115615394259874E-2</v>
      </c>
      <c r="W49" s="131">
        <f>'tab2 lvl'!W49/'tab2 percent'!W55</f>
        <v>5.8523836195255509E-2</v>
      </c>
      <c r="X49" s="131">
        <f>'tab2 lvl'!X49/'tab2 percent'!X55</f>
        <v>6.121978219387033E-2</v>
      </c>
      <c r="Y49" s="131">
        <f>'tab2 lvl'!Y49/'tab2 percent'!Y55</f>
        <v>5.9348765032446085E-2</v>
      </c>
      <c r="Z49" s="131">
        <f>'tab2 lvl'!Z49/'tab2 percent'!Z55</f>
        <v>6.2463349220950919E-2</v>
      </c>
      <c r="AA49" s="131">
        <f>'tab2 lvl'!AA49/'tab2 percent'!AA55</f>
        <v>6.2086949363441495E-2</v>
      </c>
      <c r="AB49" s="131">
        <f>'tab2 lvl'!AB49/'tab2 percent'!AB55</f>
        <v>6.6609204446020961E-2</v>
      </c>
      <c r="AC49" s="131">
        <f>'tab2 lvl'!AC49/'tab2 percent'!AC55</f>
        <v>5.9771435620871956E-2</v>
      </c>
      <c r="AD49" s="131">
        <f>'tab2 lvl'!AD49/'tab2 percent'!AD55</f>
        <v>5.8161497952018727E-2</v>
      </c>
      <c r="AE49" s="131">
        <f>'tab2 lvl'!AE49/'tab2 percent'!AE55</f>
        <v>5.1108931890486556E-2</v>
      </c>
      <c r="AF49" s="131">
        <f>'tab2 lvl'!AF49/'tab2 percent'!AF55</f>
        <v>4.9909590513890191E-2</v>
      </c>
      <c r="AG49" s="131">
        <f>'tab2 lvl'!AG49/'tab2 percent'!AG55</f>
        <v>4.7152519065386263E-2</v>
      </c>
      <c r="AH49" s="131">
        <f>'tab2 lvl'!AH49/'tab2 percent'!AH55</f>
        <v>4.6017264969958935E-2</v>
      </c>
      <c r="AI49" s="131">
        <f>'tab2 lvl'!AI49/'tab2 percent'!AI55</f>
        <v>4.4302792576399498E-2</v>
      </c>
      <c r="AJ49" s="131">
        <f>'tab2 lvl'!AJ49/'tab2 percent'!AJ55</f>
        <v>4.2827640955455486E-2</v>
      </c>
      <c r="AK49" s="131">
        <f>'tab2 lvl'!AK49/'tab2 percent'!AK55</f>
        <v>3.9677998018832324E-2</v>
      </c>
      <c r="AL49" s="131">
        <f>'tab2 lvl'!AL49/'tab2 percent'!AL55</f>
        <v>3.8642367201041063E-2</v>
      </c>
      <c r="AM49" s="131">
        <f>'tab2 lvl'!AM49/'tab2 percent'!AM55</f>
        <v>3.4733678571823724E-2</v>
      </c>
      <c r="AN49" s="131">
        <f>'tab2 lvl'!AN49/'tab2 percent'!AN55</f>
        <v>3.3910423442127989E-2</v>
      </c>
      <c r="AO49" s="131">
        <f>'tab2 lvl'!AO49/'tab2 percent'!AO55</f>
        <v>3.1152325864447251E-2</v>
      </c>
      <c r="AP49" s="131">
        <f>'tab2 lvl'!AP49/'tab2 percent'!AP55</f>
        <v>3.1471492711896379E-2</v>
      </c>
      <c r="AQ49" s="131">
        <f>'tab2 lvl'!AQ49/'tab2 percent'!AQ55</f>
        <v>3.0480270488850946E-2</v>
      </c>
      <c r="AR49" s="131">
        <f>'tab2 lvl'!AR49/'tab2 percent'!AR55</f>
        <v>2.94030142729092E-2</v>
      </c>
      <c r="AS49" s="131">
        <f>'tab2 lvl'!AS49/'tab2 percent'!AS55</f>
        <v>2.8864209385010959E-2</v>
      </c>
      <c r="AT49" s="131">
        <f>'tab2 lvl'!AT49/'tab2 percent'!AT55</f>
        <v>2.7429891987869888E-2</v>
      </c>
      <c r="AU49" s="131">
        <f>'tab2 lvl'!AU49/'tab2 percent'!AU55</f>
        <v>2.6415341432856645E-2</v>
      </c>
      <c r="AV49" s="131">
        <f>'tab2 lvl'!AV49/'tab2 percent'!AV55</f>
        <v>2.4372493422309852E-2</v>
      </c>
      <c r="AW49" s="131">
        <f>'tab2 lvl'!AW49/'tab2 percent'!AW55</f>
        <v>2.3310499033459525E-2</v>
      </c>
      <c r="AX49" s="131">
        <f>'tab2 lvl'!AX49/'tab2 percent'!AX55</f>
        <v>2.282819292199759E-2</v>
      </c>
      <c r="AY49" s="131">
        <f>'tab2 lvl'!AY49/'tab2 percent'!AY55</f>
        <v>2.3467090973240991E-2</v>
      </c>
    </row>
    <row r="50" spans="1:52" ht="16.5">
      <c r="A50" s="2"/>
      <c r="B50" s="2"/>
      <c r="C50" s="2"/>
      <c r="D50" s="2" t="s">
        <v>81</v>
      </c>
      <c r="E50" s="118">
        <f>'tab2 lvl'!E50/'tab2 percent'!E55</f>
        <v>0.15019934658025816</v>
      </c>
      <c r="F50" s="118">
        <f>'tab2 lvl'!F50/'tab2 percent'!F55</f>
        <v>0.14888034942776465</v>
      </c>
      <c r="G50" s="118">
        <f>'tab2 lvl'!G50/'tab2 percent'!G55</f>
        <v>0.15503613727299279</v>
      </c>
      <c r="H50" s="118">
        <f>'tab2 lvl'!H50/'tab2 percent'!H55</f>
        <v>0.15385821712413106</v>
      </c>
      <c r="I50" s="118">
        <f>'tab2 lvl'!I50/'tab2 percent'!I55</f>
        <v>0.10728417641911168</v>
      </c>
      <c r="J50" s="118">
        <f>'tab2 lvl'!J50/'tab2 percent'!J55</f>
        <v>0.10437247667110142</v>
      </c>
      <c r="K50" s="118">
        <f>'tab2 lvl'!K50/'tab2 percent'!K55</f>
        <v>9.9715208634407471E-2</v>
      </c>
      <c r="L50" s="118">
        <f>'tab2 lvl'!L50/'tab2 percent'!L55</f>
        <v>9.3266170578133953E-2</v>
      </c>
      <c r="M50" s="118">
        <f>'tab2 lvl'!M50/'tab2 percent'!M55</f>
        <v>8.8439227382298577E-2</v>
      </c>
      <c r="N50" s="118">
        <f>'tab2 lvl'!N50/'tab2 percent'!N55</f>
        <v>9.0031126206866652E-2</v>
      </c>
      <c r="O50" s="118">
        <f>'tab2 lvl'!O50/'tab2 percent'!O55</f>
        <v>8.1307120958062667E-2</v>
      </c>
      <c r="P50" s="118">
        <f>'tab2 lvl'!P50/'tab2 percent'!P55</f>
        <v>7.84823279021718E-2</v>
      </c>
      <c r="Q50" s="118">
        <f>'tab2 lvl'!Q50/'tab2 percent'!Q55</f>
        <v>7.504644714828089E-2</v>
      </c>
      <c r="R50" s="118">
        <f>'tab2 lvl'!R50/'tab2 percent'!R55</f>
        <v>6.8649682122137332E-2</v>
      </c>
      <c r="S50" s="118">
        <f>'tab2 lvl'!S50/'tab2 percent'!S55</f>
        <v>6.6284953808508879E-2</v>
      </c>
      <c r="T50" s="118">
        <f>'tab2 lvl'!T50/'tab2 percent'!T55</f>
        <v>6.0274889989018858E-2</v>
      </c>
      <c r="U50" s="118">
        <f>'tab2 lvl'!U50/'tab2 percent'!U55</f>
        <v>6.2978372116864023E-2</v>
      </c>
      <c r="V50" s="118">
        <f>'tab2 lvl'!V50/'tab2 percent'!V55</f>
        <v>6.158489287037943E-2</v>
      </c>
      <c r="W50" s="118">
        <f>'tab2 lvl'!W50/'tab2 percent'!W55</f>
        <v>5.7986219668436548E-2</v>
      </c>
      <c r="X50" s="118">
        <f>'tab2 lvl'!X50/'tab2 percent'!X55</f>
        <v>6.0692771298901174E-2</v>
      </c>
      <c r="Y50" s="118">
        <f>'tab2 lvl'!Y50/'tab2 percent'!Y55</f>
        <v>5.8816356570619038E-2</v>
      </c>
      <c r="Z50" s="118">
        <f>'tab2 lvl'!Z50/'tab2 percent'!Z55</f>
        <v>6.1936289729952868E-2</v>
      </c>
      <c r="AA50" s="118">
        <f>'tab2 lvl'!AA50/'tab2 percent'!AA55</f>
        <v>6.1568963934156319E-2</v>
      </c>
      <c r="AB50" s="118">
        <f>'tab2 lvl'!AB50/'tab2 percent'!AB55</f>
        <v>6.6113075732640206E-2</v>
      </c>
      <c r="AC50" s="118">
        <f>'tab2 lvl'!AC50/'tab2 percent'!AC55</f>
        <v>5.9300954387509638E-2</v>
      </c>
      <c r="AD50" s="118">
        <f>'tab2 lvl'!AD50/'tab2 percent'!AD55</f>
        <v>5.7695494441193679E-2</v>
      </c>
      <c r="AE50" s="118">
        <f>'tab2 lvl'!AE50/'tab2 percent'!AE55</f>
        <v>5.0679042612632126E-2</v>
      </c>
      <c r="AF50" s="118">
        <f>'tab2 lvl'!AF50/'tab2 percent'!AF55</f>
        <v>4.9491418873591105E-2</v>
      </c>
      <c r="AG50" s="118">
        <f>'tab2 lvl'!AG50/'tab2 percent'!AG55</f>
        <v>4.674645943303285E-2</v>
      </c>
      <c r="AH50" s="118">
        <f>'tab2 lvl'!AH50/'tab2 percent'!AH55</f>
        <v>4.561843878647584E-2</v>
      </c>
      <c r="AI50" s="118">
        <f>'tab2 lvl'!AI50/'tab2 percent'!AI55</f>
        <v>4.3913735895513971E-2</v>
      </c>
      <c r="AJ50" s="118">
        <f>'tab2 lvl'!AJ50/'tab2 percent'!AJ55</f>
        <v>4.2439932787637177E-2</v>
      </c>
      <c r="AK50" s="118">
        <f>'tab2 lvl'!AK50/'tab2 percent'!AK55</f>
        <v>3.9303581817175401E-2</v>
      </c>
      <c r="AL50" s="118">
        <f>'tab2 lvl'!AL50/'tab2 percent'!AL55</f>
        <v>3.8282396927618478E-2</v>
      </c>
      <c r="AM50" s="118">
        <f>'tab2 lvl'!AM50/'tab2 percent'!AM55</f>
        <v>3.4391953415902517E-2</v>
      </c>
      <c r="AN50" s="118">
        <f>'tab2 lvl'!AN50/'tab2 percent'!AN55</f>
        <v>3.357702979304502E-2</v>
      </c>
      <c r="AO50" s="118">
        <f>'tab2 lvl'!AO50/'tab2 percent'!AO55</f>
        <v>3.0826368684000047E-2</v>
      </c>
      <c r="AP50" s="118">
        <f>'tab2 lvl'!AP50/'tab2 percent'!AP55</f>
        <v>3.1133724978091845E-2</v>
      </c>
      <c r="AQ50" s="118">
        <f>'tab2 lvl'!AQ50/'tab2 percent'!AQ55</f>
        <v>3.0150375706100518E-2</v>
      </c>
      <c r="AR50" s="118">
        <f>'tab2 lvl'!AR50/'tab2 percent'!AR55</f>
        <v>2.9073183596386366E-2</v>
      </c>
      <c r="AS50" s="118">
        <f>'tab2 lvl'!AS50/'tab2 percent'!AS55</f>
        <v>2.8537953222418123E-2</v>
      </c>
      <c r="AT50" s="118">
        <f>'tab2 lvl'!AT50/'tab2 percent'!AT55</f>
        <v>2.7119591785052639E-2</v>
      </c>
      <c r="AU50" s="118">
        <f>'tab2 lvl'!AU50/'tab2 percent'!AU55</f>
        <v>2.6102791455896251E-2</v>
      </c>
      <c r="AV50" s="118">
        <f>'tab2 lvl'!AV50/'tab2 percent'!AV55</f>
        <v>2.4069948150463632E-2</v>
      </c>
      <c r="AW50" s="118">
        <f>'tab2 lvl'!AW50/'tab2 percent'!AW55</f>
        <v>2.3011090384726079E-2</v>
      </c>
      <c r="AX50" s="118">
        <f>'tab2 lvl'!AX50/'tab2 percent'!AX55</f>
        <v>2.2530011014065304E-2</v>
      </c>
      <c r="AY50" s="118">
        <f>'tab2 lvl'!AY50/'tab2 percent'!AY55</f>
        <v>2.3160601534569336E-2</v>
      </c>
    </row>
    <row r="51" spans="1:52" ht="16.5">
      <c r="A51" s="2"/>
      <c r="B51" s="2"/>
      <c r="C51" s="2"/>
      <c r="D51" s="2" t="s">
        <v>82</v>
      </c>
      <c r="E51" s="118">
        <f>'tab2 lvl'!E51/'tab2 percent'!E55</f>
        <v>2.9763804831021371E-3</v>
      </c>
      <c r="F51" s="118">
        <f>'tab2 lvl'!F51/'tab2 percent'!F55</f>
        <v>2.8503673548125308E-3</v>
      </c>
      <c r="G51" s="118">
        <f>'tab2 lvl'!G51/'tab2 percent'!G55</f>
        <v>2.467753788978995E-3</v>
      </c>
      <c r="H51" s="118">
        <f>'tab2 lvl'!H51/'tab2 percent'!H55</f>
        <v>2.4904134121417417E-3</v>
      </c>
      <c r="I51" s="118">
        <f>'tab2 lvl'!I51/'tab2 percent'!I55</f>
        <v>2.0363711842603044E-3</v>
      </c>
      <c r="J51" s="118">
        <f>'tab2 lvl'!J51/'tab2 percent'!J55</f>
        <v>1.990071734668984E-3</v>
      </c>
      <c r="K51" s="118">
        <f>'tab2 lvl'!K51/'tab2 percent'!K55</f>
        <v>1.6721844465285094E-3</v>
      </c>
      <c r="L51" s="118">
        <f>'tab2 lvl'!L51/'tab2 percent'!L55</f>
        <v>1.519087666769407E-3</v>
      </c>
      <c r="M51" s="118">
        <f>'tab2 lvl'!M51/'tab2 percent'!M55</f>
        <v>1.2212470554471911E-3</v>
      </c>
      <c r="N51" s="118">
        <f>'tab2 lvl'!N51/'tab2 percent'!N55</f>
        <v>1.2547244687007768E-3</v>
      </c>
      <c r="O51" s="118">
        <f>'tab2 lvl'!O51/'tab2 percent'!O55</f>
        <v>9.4624038826295347E-4</v>
      </c>
      <c r="P51" s="118">
        <f>'tab2 lvl'!P51/'tab2 percent'!P55</f>
        <v>8.991961132531047E-4</v>
      </c>
      <c r="Q51" s="118">
        <f>'tab2 lvl'!Q51/'tab2 percent'!Q55</f>
        <v>6.788729553810789E-4</v>
      </c>
      <c r="R51" s="118">
        <f>'tab2 lvl'!R51/'tab2 percent'!R55</f>
        <v>6.3685190840903334E-4</v>
      </c>
      <c r="S51" s="118">
        <f>'tab2 lvl'!S51/'tab2 percent'!S55</f>
        <v>6.0621298969035274E-4</v>
      </c>
      <c r="T51" s="118">
        <f>'tab2 lvl'!T51/'tab2 percent'!T55</f>
        <v>5.4521284119870802E-4</v>
      </c>
      <c r="U51" s="118">
        <f>'tab2 lvl'!U51/'tab2 percent'!U55</f>
        <v>5.3717444818406459E-4</v>
      </c>
      <c r="V51" s="118">
        <f>'tab2 lvl'!V51/'tab2 percent'!V55</f>
        <v>5.3072252388044691E-4</v>
      </c>
      <c r="W51" s="118">
        <f>'tab2 lvl'!W51/'tab2 percent'!W55</f>
        <v>5.3761652681896257E-4</v>
      </c>
      <c r="X51" s="118">
        <f>'tab2 lvl'!X51/'tab2 percent'!X55</f>
        <v>5.2701089496915061E-4</v>
      </c>
      <c r="Y51" s="118">
        <f>'tab2 lvl'!Y51/'tab2 percent'!Y55</f>
        <v>5.3240846182704259E-4</v>
      </c>
      <c r="Z51" s="118">
        <f>'tab2 lvl'!Z51/'tab2 percent'!Z55</f>
        <v>5.2705949099804764E-4</v>
      </c>
      <c r="AA51" s="118">
        <f>'tab2 lvl'!AA51/'tab2 percent'!AA55</f>
        <v>5.179854292851737E-4</v>
      </c>
      <c r="AB51" s="118">
        <f>'tab2 lvl'!AB51/'tab2 percent'!AB55</f>
        <v>4.9612871338076091E-4</v>
      </c>
      <c r="AC51" s="118">
        <f>'tab2 lvl'!AC51/'tab2 percent'!AC55</f>
        <v>4.7048123336232021E-4</v>
      </c>
      <c r="AD51" s="118">
        <f>'tab2 lvl'!AD51/'tab2 percent'!AD55</f>
        <v>4.6600351082504393E-4</v>
      </c>
      <c r="AE51" s="118">
        <f>'tab2 lvl'!AE51/'tab2 percent'!AE55</f>
        <v>4.2988927785443058E-4</v>
      </c>
      <c r="AF51" s="118">
        <f>'tab2 lvl'!AF51/'tab2 percent'!AF55</f>
        <v>4.1817164029908437E-4</v>
      </c>
      <c r="AG51" s="118">
        <f>'tab2 lvl'!AG51/'tab2 percent'!AG55</f>
        <v>4.0605963235341308E-4</v>
      </c>
      <c r="AH51" s="118">
        <f>'tab2 lvl'!AH51/'tab2 percent'!AH55</f>
        <v>3.988261834830905E-4</v>
      </c>
      <c r="AI51" s="118">
        <f>'tab2 lvl'!AI51/'tab2 percent'!AI55</f>
        <v>3.8905668088552454E-4</v>
      </c>
      <c r="AJ51" s="118">
        <f>'tab2 lvl'!AJ51/'tab2 percent'!AJ55</f>
        <v>3.8770816781830614E-4</v>
      </c>
      <c r="AK51" s="118">
        <f>'tab2 lvl'!AK51/'tab2 percent'!AK55</f>
        <v>3.7441620165692328E-4</v>
      </c>
      <c r="AL51" s="118">
        <f>'tab2 lvl'!AL51/'tab2 percent'!AL55</f>
        <v>3.5997027342258187E-4</v>
      </c>
      <c r="AM51" s="118">
        <f>'tab2 lvl'!AM51/'tab2 percent'!AM55</f>
        <v>3.4172515592120116E-4</v>
      </c>
      <c r="AN51" s="118">
        <f>'tab2 lvl'!AN51/'tab2 percent'!AN55</f>
        <v>3.333936490829686E-4</v>
      </c>
      <c r="AO51" s="118">
        <f>'tab2 lvl'!AO51/'tab2 percent'!AO55</f>
        <v>3.2595718044720583E-4</v>
      </c>
      <c r="AP51" s="118">
        <f>'tab2 lvl'!AP51/'tab2 percent'!AP55</f>
        <v>3.3776773380453189E-4</v>
      </c>
      <c r="AQ51" s="118">
        <f>'tab2 lvl'!AQ51/'tab2 percent'!AQ55</f>
        <v>3.2989478275042883E-4</v>
      </c>
      <c r="AR51" s="118">
        <f>'tab2 lvl'!AR51/'tab2 percent'!AR55</f>
        <v>3.298306765228309E-4</v>
      </c>
      <c r="AS51" s="118">
        <f>'tab2 lvl'!AS51/'tab2 percent'!AS55</f>
        <v>3.2625616259283457E-4</v>
      </c>
      <c r="AT51" s="118">
        <f>'tab2 lvl'!AT51/'tab2 percent'!AT55</f>
        <v>3.103002028172476E-4</v>
      </c>
      <c r="AU51" s="118">
        <f>'tab2 lvl'!AU51/'tab2 percent'!AU55</f>
        <v>3.1254997696039303E-4</v>
      </c>
      <c r="AV51" s="118">
        <f>'tab2 lvl'!AV51/'tab2 percent'!AV55</f>
        <v>3.0254527184622065E-4</v>
      </c>
      <c r="AW51" s="118">
        <f>'tab2 lvl'!AW51/'tab2 percent'!AW55</f>
        <v>2.9940864873344476E-4</v>
      </c>
      <c r="AX51" s="118">
        <f>'tab2 lvl'!AX51/'tab2 percent'!AX55</f>
        <v>2.9818190793228666E-4</v>
      </c>
      <c r="AY51" s="118">
        <f>'tab2 lvl'!AY51/'tab2 percent'!AY55</f>
        <v>3.0648943867165408E-4</v>
      </c>
    </row>
    <row r="52" spans="1:52" ht="16.5">
      <c r="A52" s="124" t="s">
        <v>39</v>
      </c>
      <c r="B52" s="103" t="s">
        <v>83</v>
      </c>
      <c r="C52" s="103"/>
      <c r="D52" s="103"/>
      <c r="E52" s="144">
        <f>'tab2 lvl'!E52/'tab2 percent'!E55</f>
        <v>0.91351848209565645</v>
      </c>
      <c r="F52" s="144">
        <f>'tab2 lvl'!F52/'tab2 percent'!F55</f>
        <v>0.89275749536952498</v>
      </c>
      <c r="G52" s="144">
        <f>'tab2 lvl'!G52/'tab2 percent'!G55</f>
        <v>0.92242335385716223</v>
      </c>
      <c r="H52" s="144">
        <f>'tab2 lvl'!H52/'tab2 percent'!H55</f>
        <v>0.84980695409667339</v>
      </c>
      <c r="I52" s="144">
        <f>'tab2 lvl'!I52/'tab2 percent'!I55</f>
        <v>0.82529723807857691</v>
      </c>
      <c r="J52" s="144">
        <f>'tab2 lvl'!J52/'tab2 percent'!J55</f>
        <v>0.83602554788704098</v>
      </c>
      <c r="K52" s="144">
        <f>'tab2 lvl'!K52/'tab2 percent'!K55</f>
        <v>0.84250845568357913</v>
      </c>
      <c r="L52" s="144">
        <f>'tab2 lvl'!L52/'tab2 percent'!L55</f>
        <v>0.77721203079529733</v>
      </c>
      <c r="M52" s="144">
        <f>'tab2 lvl'!M52/'tab2 percent'!M55</f>
        <v>1.1230189316722192</v>
      </c>
      <c r="N52" s="144">
        <f>'tab2 lvl'!N52/'tab2 percent'!N55</f>
        <v>1.1173443377065293</v>
      </c>
      <c r="O52" s="144">
        <f>'tab2 lvl'!O52/'tab2 percent'!O55</f>
        <v>1.1227053743854856</v>
      </c>
      <c r="P52" s="144">
        <f>'tab2 lvl'!P52/'tab2 percent'!P55</f>
        <v>0.28004392092719094</v>
      </c>
      <c r="Q52" s="144">
        <f>'tab2 lvl'!Q52/'tab2 percent'!Q55</f>
        <v>0.14407371438728792</v>
      </c>
      <c r="R52" s="144">
        <f>'tab2 lvl'!R52/'tab2 percent'!R55</f>
        <v>1.0984088258710591</v>
      </c>
      <c r="S52" s="144">
        <f>'tab2 lvl'!S52/'tab2 percent'!S55</f>
        <v>1.1050265453375405</v>
      </c>
      <c r="T52" s="144">
        <f>'tab2 lvl'!T52/'tab2 percent'!T55</f>
        <v>1.1611256543663642</v>
      </c>
      <c r="U52" s="144">
        <f>'tab2 lvl'!U52/'tab2 percent'!U55</f>
        <v>1.1278245136366127</v>
      </c>
      <c r="V52" s="144">
        <f>'tab2 lvl'!V52/'tab2 percent'!V55</f>
        <v>1.1298586724439414</v>
      </c>
      <c r="W52" s="144">
        <f>'tab2 lvl'!W52/'tab2 percent'!W55</f>
        <v>1.1368867424925371</v>
      </c>
      <c r="X52" s="144">
        <f>'tab2 lvl'!X52/'tab2 percent'!X55</f>
        <v>1.1575715467465801</v>
      </c>
      <c r="Y52" s="144">
        <f>'tab2 lvl'!Y52/'tab2 percent'!Y55</f>
        <v>1.0927427555003029</v>
      </c>
      <c r="Z52" s="144">
        <f>'tab2 lvl'!Z52/'tab2 percent'!Z55</f>
        <v>1.0890268401261167</v>
      </c>
      <c r="AA52" s="144">
        <f>'tab2 lvl'!AA52/'tab2 percent'!AA55</f>
        <v>1.106759561506911</v>
      </c>
      <c r="AB52" s="144">
        <f>'tab2 lvl'!AB52/'tab2 percent'!AB55</f>
        <v>1.147166930377403</v>
      </c>
      <c r="AC52" s="144">
        <f>'tab2 lvl'!AC52/'tab2 percent'!AC55</f>
        <v>1.1451384300560756</v>
      </c>
      <c r="AD52" s="144">
        <f>'tab2 lvl'!AD52/'tab2 percent'!AD55</f>
        <v>1.141208460343148</v>
      </c>
      <c r="AE52" s="144">
        <f>'tab2 lvl'!AE52/'tab2 percent'!AE55</f>
        <v>1.1425306754548603</v>
      </c>
      <c r="AF52" s="144">
        <f>'tab2 lvl'!AF52/'tab2 percent'!AF55</f>
        <v>1.1374216584637629</v>
      </c>
      <c r="AG52" s="144">
        <f>'tab2 lvl'!AG52/'tab2 percent'!AG55</f>
        <v>1.1559214583621971</v>
      </c>
      <c r="AH52" s="144">
        <f>'tab2 lvl'!AH52/'tab2 percent'!AH55</f>
        <v>1.1620772042673795</v>
      </c>
      <c r="AI52" s="144">
        <f>'tab2 lvl'!AI52/'tab2 percent'!AI55</f>
        <v>1.1539517961050543</v>
      </c>
      <c r="AJ52" s="144">
        <f>'tab2 lvl'!AJ52/'tab2 percent'!AJ55</f>
        <v>0.14511449953755087</v>
      </c>
      <c r="AK52" s="144">
        <f>'tab2 lvl'!AK52/'tab2 percent'!AK55</f>
        <v>0.27040550923367629</v>
      </c>
      <c r="AL52" s="144">
        <f>'tab2 lvl'!AL52/'tab2 percent'!AL55</f>
        <v>0.26762566039984487</v>
      </c>
      <c r="AM52" s="144">
        <f>'tab2 lvl'!AM52/'tab2 percent'!AM55</f>
        <v>0.27550392087001424</v>
      </c>
      <c r="AN52" s="144">
        <f>'tab2 lvl'!AN52/'tab2 percent'!AN55</f>
        <v>0.30148370169530725</v>
      </c>
      <c r="AO52" s="144">
        <f>'tab2 lvl'!AO52/'tab2 percent'!AO55</f>
        <v>0.28103314938968116</v>
      </c>
      <c r="AP52" s="144">
        <f>'tab2 lvl'!AP52/'tab2 percent'!AP55</f>
        <v>0.28321086621196168</v>
      </c>
      <c r="AQ52" s="144">
        <f>'tab2 lvl'!AQ52/'tab2 percent'!AQ55</f>
        <v>0.30664517181462997</v>
      </c>
      <c r="AR52" s="144">
        <f>'tab2 lvl'!AR52/'tab2 percent'!AR55</f>
        <v>0.30568836082758388</v>
      </c>
      <c r="AS52" s="144">
        <f>'tab2 lvl'!AS52/'tab2 percent'!AS55</f>
        <v>0.29028936952998502</v>
      </c>
      <c r="AT52" s="144">
        <f>'tab2 lvl'!AT52/'tab2 percent'!AT55</f>
        <v>0.28797872129316926</v>
      </c>
      <c r="AU52" s="144">
        <f>'tab2 lvl'!AU52/'tab2 percent'!AU55</f>
        <v>0.28575959500454012</v>
      </c>
      <c r="AV52" s="144">
        <f>'tab2 lvl'!AV52/'tab2 percent'!AV55</f>
        <v>0.28243539912800281</v>
      </c>
      <c r="AW52" s="144">
        <f>'tab2 lvl'!AW52/'tab2 percent'!AW55</f>
        <v>0.29350585925083278</v>
      </c>
      <c r="AX52" s="144">
        <f>'tab2 lvl'!AX52/'tab2 percent'!AX55</f>
        <v>0.29756227708691008</v>
      </c>
      <c r="AY52" s="144">
        <f>'tab2 lvl'!AY52/'tab2 percent'!AY55</f>
        <v>0.2957971550298909</v>
      </c>
    </row>
    <row r="53" spans="1:52" ht="16.5">
      <c r="A53" s="2"/>
      <c r="B53" s="2"/>
      <c r="C53" s="2" t="s">
        <v>10</v>
      </c>
      <c r="D53" s="2"/>
      <c r="E53" s="118">
        <f>'tab2 lvl'!E53/'tab2 percent'!E55</f>
        <v>0.19849651648053132</v>
      </c>
      <c r="F53" s="118">
        <f>'tab2 lvl'!F53/'tab2 percent'!F55</f>
        <v>0.19197787873894526</v>
      </c>
      <c r="G53" s="118">
        <f>'tab2 lvl'!G53/'tab2 percent'!G55</f>
        <v>0.19899536005056614</v>
      </c>
      <c r="H53" s="118">
        <f>'tab2 lvl'!H53/'tab2 percent'!H55</f>
        <v>0.17730833239754046</v>
      </c>
      <c r="I53" s="118">
        <f>'tab2 lvl'!I53/'tab2 percent'!I55</f>
        <v>0.16027925242245947</v>
      </c>
      <c r="J53" s="118">
        <f>'tab2 lvl'!J53/'tab2 percent'!J55</f>
        <v>0.18416733256124218</v>
      </c>
      <c r="K53" s="118">
        <f>'tab2 lvl'!K53/'tab2 percent'!K55</f>
        <v>0.18851326658849013</v>
      </c>
      <c r="L53" s="118">
        <f>'tab2 lvl'!L53/'tab2 percent'!L55</f>
        <v>0.17045950030346527</v>
      </c>
      <c r="M53" s="118">
        <f>'tab2 lvl'!M53/'tab2 percent'!M55</f>
        <v>0.12284220701047817</v>
      </c>
      <c r="N53" s="118">
        <f>'tab2 lvl'!N53/'tab2 percent'!N55</f>
        <v>0.1173443377065294</v>
      </c>
      <c r="O53" s="118">
        <f>'tab2 lvl'!O53/'tab2 percent'!O55</f>
        <v>0.12270521073270296</v>
      </c>
      <c r="P53" s="118">
        <f>'tab2 lvl'!P53/'tab2 percent'!P55</f>
        <v>0.27867219797399428</v>
      </c>
      <c r="Q53" s="118">
        <f>'tab2 lvl'!Q53/'tab2 percent'!Q55</f>
        <v>0.14274447520890371</v>
      </c>
      <c r="R53" s="118">
        <f>'tab2 lvl'!R53/'tab2 percent'!R55</f>
        <v>0.1342856794481023</v>
      </c>
      <c r="S53" s="118">
        <f>'tab2 lvl'!S53/'tab2 percent'!S55</f>
        <v>0.1347320257415752</v>
      </c>
      <c r="T53" s="118">
        <f>'tab2 lvl'!T53/'tab2 percent'!T55</f>
        <v>0.16112565436636417</v>
      </c>
      <c r="U53" s="118">
        <f>'tab2 lvl'!U53/'tab2 percent'!U55</f>
        <v>0.16113437698699737</v>
      </c>
      <c r="V53" s="118">
        <f>'tab2 lvl'!V53/'tab2 percent'!V55</f>
        <v>0.16112933404219881</v>
      </c>
      <c r="W53" s="118">
        <f>'tab2 lvl'!W53/'tab2 percent'!W55</f>
        <v>0.1675310175616849</v>
      </c>
      <c r="X53" s="118">
        <f>'tab2 lvl'!X53/'tab2 percent'!X55</f>
        <v>0.15462917070585006</v>
      </c>
      <c r="Y53" s="118">
        <f>'tab2 lvl'!Y53/'tab2 percent'!Y55</f>
        <v>0.13170809431476052</v>
      </c>
      <c r="Z53" s="118">
        <f>'tab2 lvl'!Z53/'tab2 percent'!Z55</f>
        <v>0.12946466934765744</v>
      </c>
      <c r="AA53" s="118">
        <f>'tab2 lvl'!AA53/'tab2 percent'!AA55</f>
        <v>0.14827573905306565</v>
      </c>
      <c r="AB53" s="118">
        <f>'tab2 lvl'!AB53/'tab2 percent'!AB55</f>
        <v>0.14319671703831841</v>
      </c>
      <c r="AC53" s="118">
        <f>'tab2 lvl'!AC53/'tab2 percent'!AC55</f>
        <v>0.14085871989186674</v>
      </c>
      <c r="AD53" s="118">
        <f>'tab2 lvl'!AD53/'tab2 percent'!AD55</f>
        <v>0.13844593254911644</v>
      </c>
      <c r="AE53" s="118">
        <f>'tab2 lvl'!AE53/'tab2 percent'!AE55</f>
        <v>0.14146789109507621</v>
      </c>
      <c r="AF53" s="118">
        <f>'tab2 lvl'!AF53/'tab2 percent'!AF55</f>
        <v>0.13461888664664329</v>
      </c>
      <c r="AG53" s="118">
        <f>'tab2 lvl'!AG53/'tab2 percent'!AG55</f>
        <v>0.15223153694066427</v>
      </c>
      <c r="AH53" s="118">
        <f>'tab2 lvl'!AH53/'tab2 percent'!AH55</f>
        <v>0.1577275448807309</v>
      </c>
      <c r="AI53" s="118">
        <f>'tab2 lvl'!AI53/'tab2 percent'!AI55</f>
        <v>0.14943366669377633</v>
      </c>
      <c r="AJ53" s="118">
        <f>'tab2 lvl'!AJ53/'tab2 percent'!AJ55</f>
        <v>0.13388454893738089</v>
      </c>
      <c r="AK53" s="118">
        <f>'tab2 lvl'!AK53/'tab2 percent'!AK55</f>
        <v>0.26528588376321471</v>
      </c>
      <c r="AL53" s="118">
        <f>'tab2 lvl'!AL53/'tab2 percent'!AL55</f>
        <v>0.26237409407757989</v>
      </c>
      <c r="AM53" s="118">
        <f>'tab2 lvl'!AM53/'tab2 percent'!AM55</f>
        <v>0.27021439202369424</v>
      </c>
      <c r="AN53" s="118">
        <f>'tab2 lvl'!AN53/'tab2 percent'!AN55</f>
        <v>0.2890416514484056</v>
      </c>
      <c r="AO53" s="118">
        <f>'tab2 lvl'!AO53/'tab2 percent'!AO55</f>
        <v>0.26874657599715307</v>
      </c>
      <c r="AP53" s="118">
        <f>'tab2 lvl'!AP53/'tab2 percent'!AP55</f>
        <v>0.27035656365376826</v>
      </c>
      <c r="AQ53" s="118">
        <f>'tab2 lvl'!AQ53/'tab2 percent'!AQ55</f>
        <v>0.29384181672961812</v>
      </c>
      <c r="AR53" s="118">
        <f>'tab2 lvl'!AR53/'tab2 percent'!AR55</f>
        <v>0.29273725218238139</v>
      </c>
      <c r="AS53" s="118">
        <f>'tab2 lvl'!AS53/'tab2 percent'!AS55</f>
        <v>0.27747808424022624</v>
      </c>
      <c r="AT53" s="118">
        <f>'tab2 lvl'!AT53/'tab2 percent'!AT55</f>
        <v>0.27555887079211355</v>
      </c>
      <c r="AU53" s="118">
        <f>'tab2 lvl'!AU53/'tab2 percent'!AU55</f>
        <v>0.27318800811804012</v>
      </c>
      <c r="AV53" s="118">
        <f>'tab2 lvl'!AV53/'tab2 percent'!AV55</f>
        <v>0.27007115850793445</v>
      </c>
      <c r="AW53" s="118">
        <f>'tab2 lvl'!AW53/'tab2 percent'!AW55</f>
        <v>0.28116028952722943</v>
      </c>
      <c r="AX53" s="118">
        <f>'tab2 lvl'!AX53/'tab2 percent'!AX55</f>
        <v>0.28507389276081968</v>
      </c>
      <c r="AY53" s="118">
        <f>'tab2 lvl'!AY53/'tab2 percent'!AY55</f>
        <v>0.28298681405332926</v>
      </c>
    </row>
    <row r="54" spans="1:52" ht="16.5">
      <c r="A54" s="2"/>
      <c r="B54" s="2"/>
      <c r="C54" s="2" t="s">
        <v>11</v>
      </c>
      <c r="D54" s="2"/>
      <c r="E54" s="118">
        <f>'tab2 lvl'!E54/'tab2 percent'!E55</f>
        <v>0.7150219656151251</v>
      </c>
      <c r="F54" s="118">
        <f>'tab2 lvl'!F54/'tab2 percent'!F55</f>
        <v>0.70077961663057975</v>
      </c>
      <c r="G54" s="118">
        <f>'tab2 lvl'!G54/'tab2 percent'!G55</f>
        <v>0.72342799380659606</v>
      </c>
      <c r="H54" s="118">
        <f>'tab2 lvl'!H54/'tab2 percent'!H55</f>
        <v>0.67249862169913288</v>
      </c>
      <c r="I54" s="118">
        <f>'tab2 lvl'!I54/'tab2 percent'!I55</f>
        <v>0.66501798565611747</v>
      </c>
      <c r="J54" s="118">
        <f>'tab2 lvl'!J54/'tab2 percent'!J55</f>
        <v>0.6518582153257988</v>
      </c>
      <c r="K54" s="118">
        <f>'tab2 lvl'!K54/'tab2 percent'!K55</f>
        <v>0.65399518909508891</v>
      </c>
      <c r="L54" s="118">
        <f>'tab2 lvl'!L54/'tab2 percent'!L55</f>
        <v>0.6067525304918322</v>
      </c>
      <c r="M54" s="118">
        <f>'tab2 lvl'!M54/'tab2 percent'!M55</f>
        <v>1.0001767246617412</v>
      </c>
      <c r="N54" s="118">
        <f>'tab2 lvl'!N54/'tab2 percent'!N55</f>
        <v>1</v>
      </c>
      <c r="O54" s="118">
        <f>'tab2 lvl'!O54/'tab2 percent'!O55</f>
        <v>1.0000001636527824</v>
      </c>
      <c r="P54" s="118">
        <f>'tab2 lvl'!P54/'tab2 percent'!P55</f>
        <v>1.3717229531966749E-3</v>
      </c>
      <c r="Q54" s="118">
        <f>'tab2 lvl'!Q54/'tab2 percent'!Q55</f>
        <v>1.3292391783842107E-3</v>
      </c>
      <c r="R54" s="118">
        <f>'tab2 lvl'!R54/'tab2 percent'!R55</f>
        <v>0.96412314642295671</v>
      </c>
      <c r="S54" s="118">
        <f>'tab2 lvl'!S54/'tab2 percent'!S55</f>
        <v>0.97029451959596524</v>
      </c>
      <c r="T54" s="118">
        <f>'tab2 lvl'!T54/'tab2 percent'!T55</f>
        <v>1</v>
      </c>
      <c r="U54" s="118">
        <f>'tab2 lvl'!U54/'tab2 percent'!U55</f>
        <v>0.96669013664961545</v>
      </c>
      <c r="V54" s="118">
        <f>'tab2 lvl'!V54/'tab2 percent'!V55</f>
        <v>0.96872933840174269</v>
      </c>
      <c r="W54" s="118">
        <f>'tab2 lvl'!W54/'tab2 percent'!W55</f>
        <v>0.96935572493085209</v>
      </c>
      <c r="X54" s="118">
        <f>'tab2 lvl'!X54/'tab2 percent'!X55</f>
        <v>1.0029423760407299</v>
      </c>
      <c r="Y54" s="118">
        <f>'tab2 lvl'!Y54/'tab2 percent'!Y55</f>
        <v>0.96103466118554226</v>
      </c>
      <c r="Z54" s="118">
        <f>'tab2 lvl'!Z54/'tab2 percent'!Z55</f>
        <v>0.9595621707784594</v>
      </c>
      <c r="AA54" s="118">
        <f>'tab2 lvl'!AA54/'tab2 percent'!AA55</f>
        <v>0.95848382245384522</v>
      </c>
      <c r="AB54" s="118">
        <f>'tab2 lvl'!AB54/'tab2 percent'!AB55</f>
        <v>1.0039702133390844</v>
      </c>
      <c r="AC54" s="118">
        <f>'tab2 lvl'!AC54/'tab2 percent'!AC55</f>
        <v>1.0042797101642089</v>
      </c>
      <c r="AD54" s="118">
        <f>'tab2 lvl'!AD54/'tab2 percent'!AD55</f>
        <v>1.0027625277940315</v>
      </c>
      <c r="AE54" s="118">
        <f>'tab2 lvl'!AE54/'tab2 percent'!AE55</f>
        <v>1.0010627843597841</v>
      </c>
      <c r="AF54" s="118">
        <f>'tab2 lvl'!AF54/'tab2 percent'!AF55</f>
        <v>1.0028027718171197</v>
      </c>
      <c r="AG54" s="118">
        <f>'tab2 lvl'!AG54/'tab2 percent'!AG55</f>
        <v>1.0036899214215329</v>
      </c>
      <c r="AH54" s="118">
        <f>'tab2 lvl'!AH54/'tab2 percent'!AH55</f>
        <v>1.0043496593866486</v>
      </c>
      <c r="AI54" s="118">
        <f>'tab2 lvl'!AI54/'tab2 percent'!AI55</f>
        <v>1.0045181294112779</v>
      </c>
      <c r="AJ54" s="118">
        <f>'tab2 lvl'!AJ54/'tab2 percent'!AJ55</f>
        <v>1.1229950600169977E-2</v>
      </c>
      <c r="AK54" s="118">
        <f>'tab2 lvl'!AK54/'tab2 percent'!AK55</f>
        <v>5.1196254704615474E-3</v>
      </c>
      <c r="AL54" s="118">
        <f>'tab2 lvl'!AL54/'tab2 percent'!AL55</f>
        <v>5.2515663222649995E-3</v>
      </c>
      <c r="AM54" s="118">
        <f>'tab2 lvl'!AM54/'tab2 percent'!AM55</f>
        <v>5.2895288463199576E-3</v>
      </c>
      <c r="AN54" s="118">
        <f>'tab2 lvl'!AN54/'tab2 percent'!AN55</f>
        <v>1.2442050246901622E-2</v>
      </c>
      <c r="AO54" s="118">
        <f>'tab2 lvl'!AO54/'tab2 percent'!AO55</f>
        <v>1.2286573392528023E-2</v>
      </c>
      <c r="AP54" s="118">
        <f>'tab2 lvl'!AP54/'tab2 percent'!AP55</f>
        <v>1.2854302558193451E-2</v>
      </c>
      <c r="AQ54" s="118">
        <f>'tab2 lvl'!AQ54/'tab2 percent'!AQ55</f>
        <v>1.2803355085011859E-2</v>
      </c>
      <c r="AR54" s="118">
        <f>'tab2 lvl'!AR54/'tab2 percent'!AR55</f>
        <v>1.2951108645202519E-2</v>
      </c>
      <c r="AS54" s="118">
        <f>'tab2 lvl'!AS54/'tab2 percent'!AS55</f>
        <v>1.2811285289758749E-2</v>
      </c>
      <c r="AT54" s="118">
        <f>'tab2 lvl'!AT54/'tab2 percent'!AT55</f>
        <v>1.241985050105574E-2</v>
      </c>
      <c r="AU54" s="118">
        <f>'tab2 lvl'!AU54/'tab2 percent'!AU55</f>
        <v>1.2571586886499977E-2</v>
      </c>
      <c r="AV54" s="118">
        <f>'tab2 lvl'!AV54/'tab2 percent'!AV55</f>
        <v>1.2364240620068315E-2</v>
      </c>
      <c r="AW54" s="118">
        <f>'tab2 lvl'!AW54/'tab2 percent'!AW55</f>
        <v>1.2345569723603362E-2</v>
      </c>
      <c r="AX54" s="118">
        <f>'tab2 lvl'!AX54/'tab2 percent'!AX55</f>
        <v>1.2488384326090377E-2</v>
      </c>
      <c r="AY54" s="118">
        <f>'tab2 lvl'!AY54/'tab2 percent'!AY55</f>
        <v>1.2810340976561609E-2</v>
      </c>
    </row>
    <row r="55" spans="1:52" ht="16.5">
      <c r="A55" s="71" t="s">
        <v>39</v>
      </c>
      <c r="B55" s="72" t="s">
        <v>41</v>
      </c>
      <c r="C55" s="72"/>
      <c r="D55" s="72"/>
      <c r="E55" s="73">
        <v>4667.75</v>
      </c>
      <c r="F55" s="73">
        <v>4810.6080000000002</v>
      </c>
      <c r="G55" s="73">
        <v>4954.3029999999999</v>
      </c>
      <c r="H55" s="73">
        <v>5120.4350000000004</v>
      </c>
      <c r="I55" s="73">
        <v>5241.6769999999997</v>
      </c>
      <c r="J55" s="73">
        <v>5386.2380000000003</v>
      </c>
      <c r="K55" s="73">
        <v>5519.1279999999997</v>
      </c>
      <c r="L55" s="73">
        <v>5677.75</v>
      </c>
      <c r="M55" s="74">
        <v>5826.0119999999997</v>
      </c>
      <c r="N55" s="74">
        <v>5973.4229999999998</v>
      </c>
      <c r="O55" s="74">
        <v>6110.4979999999996</v>
      </c>
      <c r="P55" s="75">
        <v>6271.1570000000002</v>
      </c>
      <c r="Q55" s="76">
        <v>6406.2060000000001</v>
      </c>
      <c r="R55" s="77">
        <v>6568.2460000000001</v>
      </c>
      <c r="S55" s="77">
        <v>6705.5640000000003</v>
      </c>
      <c r="T55" s="76">
        <v>6892.7209999999995</v>
      </c>
      <c r="U55" s="73">
        <v>7033.0969999999998</v>
      </c>
      <c r="V55" s="77">
        <v>7258.03</v>
      </c>
      <c r="W55" s="77">
        <v>7516.51</v>
      </c>
      <c r="X55" s="76">
        <v>7720.9030000000002</v>
      </c>
      <c r="Y55" s="76">
        <v>7815.4279999999999</v>
      </c>
      <c r="Z55" s="76">
        <v>7868.1819999999998</v>
      </c>
      <c r="AA55" s="78">
        <v>7895.9750000000004</v>
      </c>
      <c r="AB55" s="74">
        <v>8026.143</v>
      </c>
      <c r="AC55" s="76">
        <f>1968.888+1952.87+2295.828+2050.544</f>
        <v>8268.1299999999992</v>
      </c>
      <c r="AD55" s="74">
        <v>8545</v>
      </c>
      <c r="AE55" s="74">
        <v>8769.7000000000007</v>
      </c>
      <c r="AF55" s="74">
        <v>9003.48</v>
      </c>
      <c r="AG55" s="76">
        <v>9193.2309999999998</v>
      </c>
      <c r="AH55" s="76">
        <v>9372.5040000000008</v>
      </c>
      <c r="AI55" s="78">
        <v>9523.0339999999997</v>
      </c>
      <c r="AJ55" s="78">
        <v>9708.3330000000005</v>
      </c>
      <c r="AK55" s="76">
        <f>2425.07+2328.064+2714.904+2414.013</f>
        <v>9882.0509999999995</v>
      </c>
      <c r="AL55" s="76">
        <f>2328.064+2714.904+2414.013+2618.851</f>
        <v>10075.832</v>
      </c>
      <c r="AM55" s="78">
        <f>2714.904+2414.013+2618.851+2555.834</f>
        <v>10303.601999999999</v>
      </c>
      <c r="AN55" s="78">
        <f>2414.013+2618.851+2555.834+2972.391</f>
        <v>10561.089</v>
      </c>
      <c r="AO55" s="76">
        <f>2618.851+2555.834+2972.391+2636.549</f>
        <v>10783.625</v>
      </c>
      <c r="AP55" s="76">
        <f>2555.834+2972.391+2636.549+2851.672</f>
        <v>11016.446</v>
      </c>
      <c r="AQ55" s="76">
        <f>2972.391+2636.549+2851.672+2797.523</f>
        <v>11258.135000000002</v>
      </c>
      <c r="AR55" s="78">
        <v>11542.286</v>
      </c>
      <c r="AS55" s="78">
        <f>2851.672+2797.523+3256.542+2879.481</f>
        <v>11785.217999999999</v>
      </c>
      <c r="AT55" s="76">
        <f>2797.523+3256.542+2879.481+3141.857</f>
        <v>12075.403</v>
      </c>
      <c r="AU55" s="79">
        <f>3256.542+2879.481+3141.857+3046.549</f>
        <v>12324.429</v>
      </c>
      <c r="AV55" s="76">
        <v>12642.736000000001</v>
      </c>
      <c r="AW55" s="76">
        <f>'tab2 lvl'!AW55</f>
        <v>12795.2215682675</v>
      </c>
      <c r="AX55" s="76">
        <f>'tab2 lvl'!AX55</f>
        <v>12965.24</v>
      </c>
      <c r="AY55" s="76">
        <f>'tab2 lvl'!AY55</f>
        <v>13099.962000000001</v>
      </c>
      <c r="AZ55" s="76">
        <f>'tab2 lvl'!AZ55</f>
        <v>0</v>
      </c>
    </row>
    <row r="56" spans="1:52" ht="16.5">
      <c r="A56" s="80" t="s">
        <v>42</v>
      </c>
      <c r="B56" s="80"/>
      <c r="C56" s="80"/>
      <c r="D56" s="80"/>
      <c r="E56" s="2"/>
      <c r="F56" s="2"/>
      <c r="G56" s="2"/>
      <c r="H56" s="2"/>
      <c r="I56" s="2"/>
      <c r="J56" s="2"/>
      <c r="K56" s="126"/>
      <c r="L56" s="126"/>
      <c r="M56" s="3"/>
      <c r="N56" s="3"/>
      <c r="O56" s="3"/>
      <c r="P56" s="3"/>
      <c r="Q56" s="96"/>
      <c r="R56" s="96"/>
      <c r="S56" s="96"/>
      <c r="T56" s="96"/>
      <c r="U56" s="96"/>
      <c r="V56" s="96"/>
      <c r="W56" s="96"/>
      <c r="X56" s="3"/>
      <c r="Y56" s="3"/>
      <c r="Z56" s="3"/>
      <c r="AA56" s="3"/>
      <c r="AB56" s="2"/>
      <c r="AC56" s="3"/>
      <c r="AD56" s="3"/>
      <c r="AE56" s="3"/>
      <c r="AF56" s="3"/>
      <c r="AG56" s="3"/>
      <c r="AH56" s="3"/>
      <c r="AI56" s="3"/>
      <c r="AJ56" s="3"/>
      <c r="AK56" s="2"/>
      <c r="AL56" s="2"/>
      <c r="AM56" s="2"/>
      <c r="AN56" s="2"/>
      <c r="AO56" s="4"/>
      <c r="AP56" s="4"/>
      <c r="AQ56" s="4"/>
      <c r="AR56" s="4"/>
      <c r="AS56" s="4"/>
      <c r="AT56" s="4"/>
      <c r="AU56" s="4"/>
      <c r="AV56" s="4"/>
      <c r="AW56" s="4"/>
    </row>
    <row r="57" spans="1:52" ht="16.5">
      <c r="A57" s="2" t="s">
        <v>43</v>
      </c>
      <c r="B57" s="2" t="s">
        <v>84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3"/>
      <c r="O57" s="3"/>
      <c r="P57" s="3"/>
      <c r="Q57" s="96"/>
      <c r="R57" s="96"/>
      <c r="S57" s="96"/>
      <c r="T57" s="96"/>
      <c r="U57" s="96"/>
      <c r="V57" s="96"/>
      <c r="W57" s="96"/>
      <c r="X57" s="3"/>
      <c r="Y57" s="3"/>
      <c r="Z57" s="3"/>
      <c r="AA57" s="3"/>
      <c r="AB57" s="2"/>
      <c r="AC57" s="3"/>
      <c r="AD57" s="3"/>
      <c r="AE57" s="3"/>
      <c r="AF57" s="3"/>
      <c r="AG57" s="3"/>
      <c r="AH57" s="3"/>
      <c r="AI57" s="3"/>
      <c r="AJ57" s="3"/>
      <c r="AK57" s="2"/>
      <c r="AL57" s="2"/>
      <c r="AM57" s="2"/>
      <c r="AN57" s="2"/>
      <c r="AO57" s="4"/>
      <c r="AP57" s="4"/>
      <c r="AQ57" s="4"/>
      <c r="AR57" s="4"/>
      <c r="AS57" s="4"/>
      <c r="AT57" s="4"/>
      <c r="AU57" s="4"/>
      <c r="AV57" s="4"/>
      <c r="AW57" s="4"/>
    </row>
    <row r="58" spans="1:52" ht="16.5">
      <c r="A58" s="2"/>
      <c r="B58" s="2" t="s">
        <v>85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  <c r="Q58" s="96"/>
      <c r="R58" s="96"/>
      <c r="S58" s="96"/>
      <c r="T58" s="96"/>
      <c r="U58" s="96"/>
      <c r="V58" s="96"/>
      <c r="W58" s="96"/>
      <c r="X58" s="3"/>
      <c r="Y58" s="3"/>
      <c r="Z58" s="3"/>
      <c r="AA58" s="3"/>
      <c r="AB58" s="2"/>
      <c r="AC58" s="3"/>
      <c r="AD58" s="3"/>
      <c r="AE58" s="3"/>
      <c r="AF58" s="3"/>
      <c r="AG58" s="3"/>
      <c r="AH58" s="3"/>
      <c r="AI58" s="3"/>
      <c r="AJ58" s="3"/>
      <c r="AK58" s="2"/>
      <c r="AL58" s="2"/>
      <c r="AM58" s="2"/>
      <c r="AN58" s="2"/>
      <c r="AO58" s="4"/>
      <c r="AP58" s="4"/>
      <c r="AQ58" s="4"/>
      <c r="AR58" s="4"/>
      <c r="AS58" s="4"/>
      <c r="AT58" s="4"/>
      <c r="AU58" s="4"/>
      <c r="AV58" s="4"/>
      <c r="AW58" s="4"/>
    </row>
    <row r="59" spans="1:52" ht="16.5">
      <c r="A59" s="2" t="s">
        <v>46</v>
      </c>
      <c r="B59" s="2" t="s">
        <v>86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3"/>
      <c r="O59" s="3"/>
      <c r="P59" s="3"/>
      <c r="Q59" s="96"/>
      <c r="R59" s="96"/>
      <c r="S59" s="96"/>
      <c r="T59" s="96"/>
      <c r="U59" s="96"/>
      <c r="V59" s="96"/>
      <c r="W59" s="96"/>
      <c r="X59" s="3"/>
      <c r="Y59" s="3"/>
      <c r="Z59" s="3"/>
      <c r="AA59" s="3"/>
      <c r="AB59" s="2"/>
      <c r="AC59" s="3"/>
      <c r="AD59" s="3"/>
      <c r="AE59" s="3"/>
      <c r="AF59" s="3"/>
      <c r="AG59" s="3"/>
      <c r="AH59" s="3"/>
      <c r="AI59" s="3"/>
      <c r="AJ59" s="3"/>
      <c r="AK59" s="2"/>
      <c r="AL59" s="2"/>
      <c r="AM59" s="2"/>
      <c r="AN59" s="2"/>
      <c r="AO59" s="4"/>
      <c r="AP59" s="4"/>
      <c r="AQ59" s="4"/>
      <c r="AR59" s="4"/>
      <c r="AS59" s="4"/>
      <c r="AT59" s="4"/>
      <c r="AU59" s="4"/>
      <c r="AV59" s="4"/>
      <c r="AW59" s="4"/>
    </row>
    <row r="60" spans="1:52" ht="16.5">
      <c r="A60" s="2"/>
      <c r="B60" s="2" t="s">
        <v>87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3"/>
      <c r="O60" s="3"/>
      <c r="P60" s="3"/>
      <c r="Q60" s="96"/>
      <c r="R60" s="96"/>
      <c r="S60" s="96"/>
      <c r="T60" s="96"/>
      <c r="U60" s="96"/>
      <c r="V60" s="96"/>
      <c r="W60" s="96"/>
      <c r="X60" s="3"/>
      <c r="Y60" s="3"/>
      <c r="Z60" s="3"/>
      <c r="AA60" s="3"/>
      <c r="AB60" s="2"/>
      <c r="AC60" s="3"/>
      <c r="AD60" s="3"/>
      <c r="AE60" s="3"/>
      <c r="AF60" s="3"/>
      <c r="AG60" s="3"/>
      <c r="AH60" s="3"/>
      <c r="AI60" s="3"/>
      <c r="AJ60" s="3"/>
      <c r="AK60" s="2"/>
      <c r="AL60" s="2"/>
      <c r="AM60" s="2"/>
      <c r="AN60" s="2"/>
      <c r="AO60" s="4"/>
      <c r="AP60" s="4"/>
      <c r="AQ60" s="4"/>
      <c r="AR60" s="4"/>
      <c r="AS60" s="4"/>
      <c r="AT60" s="4"/>
      <c r="AU60" s="4"/>
      <c r="AV60" s="4"/>
      <c r="AW60" s="4"/>
    </row>
  </sheetData>
  <mergeCells count="12">
    <mergeCell ref="AW3:AZ3"/>
    <mergeCell ref="Y3:AB3"/>
    <mergeCell ref="E3:H3"/>
    <mergeCell ref="I3:L3"/>
    <mergeCell ref="M3:P3"/>
    <mergeCell ref="Q3:T3"/>
    <mergeCell ref="U3:X3"/>
    <mergeCell ref="AC3:AF3"/>
    <mergeCell ref="AG3:AJ3"/>
    <mergeCell ref="AK3:AN3"/>
    <mergeCell ref="AO3:AR3"/>
    <mergeCell ref="AS3:A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tab1 lvl</vt:lpstr>
      <vt:lpstr>tab2 lvl</vt:lpstr>
      <vt:lpstr>tab1 percent</vt:lpstr>
      <vt:lpstr>tab2 percent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ephachero</dc:creator>
  <cp:lastModifiedBy>lchalcon</cp:lastModifiedBy>
  <cp:lastPrinted>2016-02-11T07:36:03Z</cp:lastPrinted>
  <dcterms:created xsi:type="dcterms:W3CDTF">2015-06-09T07:27:58Z</dcterms:created>
  <dcterms:modified xsi:type="dcterms:W3CDTF">2016-02-11T10:02:50Z</dcterms:modified>
</cp:coreProperties>
</file>